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2-2024" sheetId="12" r:id="rId12"/>
    <sheet name="Лист1" sheetId="13" r:id="rId13"/>
  </sheets>
  <definedNames>
    <definedName name="_xlnm.Print_Area" localSheetId="4">'ИБР'!$A$1:$R$19</definedName>
    <definedName name="_xlnm.Print_Area" localSheetId="2">'Коэф.дисп'!$A$1:$D$116</definedName>
    <definedName name="_xlnm.Print_Area" localSheetId="0">'Налоговый потен'!$A$1:$L$17</definedName>
  </definedNames>
  <calcPr fullCalcOnLoad="1"/>
</workbook>
</file>

<file path=xl/sharedStrings.xml><?xml version="1.0" encoding="utf-8"?>
<sst xmlns="http://schemas.openxmlformats.org/spreadsheetml/2006/main" count="391" uniqueCount="213">
  <si>
    <t>Таблица 1</t>
  </si>
  <si>
    <t>Расчет налогового потенциала поселений, расположенных на территории муниципального образования «Новомалыклинский район район» Ульяновской области на 2022 год</t>
  </si>
  <si>
    <t>№п/п</t>
  </si>
  <si>
    <t>Наименование поселения</t>
  </si>
  <si>
    <t>НП НДФЛ</t>
  </si>
  <si>
    <t>земельный налог</t>
  </si>
  <si>
    <t>Налог на имущество физ лиц</t>
  </si>
  <si>
    <t>БНпос/БН</t>
  </si>
  <si>
    <t>НП ндфл на 2021г. (=ПДпосел конс*Норм*(Бнпос/Бнконс пос)</t>
  </si>
  <si>
    <t>НП зем налог на 2021г</t>
  </si>
  <si>
    <t>НП на 2021г.</t>
  </si>
  <si>
    <t>Новомалыклинское с/поселение</t>
  </si>
  <si>
    <t>Новочеремшанское с/поселение</t>
  </si>
  <si>
    <t>Высококолковское с/поселение</t>
  </si>
  <si>
    <t>Среднеякушкинское с/поселение</t>
  </si>
  <si>
    <t>Среднесантимирское с/поселение</t>
  </si>
  <si>
    <t>ВСЕГО</t>
  </si>
  <si>
    <t>Таблица 2</t>
  </si>
  <si>
    <t>Расчет коэффициента масштаба по поселениям, расположенным на территории муниципального образования «Новомалыклинский район» Ульяновской области на 2022 год</t>
  </si>
  <si>
    <t>Численность поселения (чел.)</t>
  </si>
  <si>
    <t>Коэффициент масштаба(0,6*числ.пос+0,4*сред числ)/числен посел</t>
  </si>
  <si>
    <t>Всего по району</t>
  </si>
  <si>
    <t xml:space="preserve">Средняя численность </t>
  </si>
  <si>
    <t>Таблица 3</t>
  </si>
  <si>
    <t>Расчет коэффициента дисперсности по поселениям, расположенным на территории муниципального образования «Новомалыклинский район» Ульяновской области на 2022 год</t>
  </si>
  <si>
    <t>№</t>
  </si>
  <si>
    <t>Наименование</t>
  </si>
  <si>
    <t>Количество жителей на 01.01.2021г.</t>
  </si>
  <si>
    <t>Коэффициент дисперсности расселения</t>
  </si>
  <si>
    <t>Новомалыклинское сельское поселение</t>
  </si>
  <si>
    <t>с. Новая Малыкла (адм.центр)</t>
  </si>
  <si>
    <t>(складывается численность менее 500 чел.)</t>
  </si>
  <si>
    <t xml:space="preserve">с. Старая Куликовка </t>
  </si>
  <si>
    <t>с. Александровка</t>
  </si>
  <si>
    <t>Станция  Якушка</t>
  </si>
  <si>
    <t>с. Эчкаюн</t>
  </si>
  <si>
    <t>п. Амировка</t>
  </si>
  <si>
    <t>Баткак</t>
  </si>
  <si>
    <t>п. Гимрановка</t>
  </si>
  <si>
    <t>пос. Новый Сантимир</t>
  </si>
  <si>
    <t>пос.Нижняя Тюгальбуга</t>
  </si>
  <si>
    <t>Новочеремшанское сельское поселение</t>
  </si>
  <si>
    <t>с. Новочеремшанск (адм. центр)</t>
  </si>
  <si>
    <t>с. Старая Тюгальбуга</t>
  </si>
  <si>
    <t>с. Вороний Куст</t>
  </si>
  <si>
    <t>Высококолковское сельское поселение</t>
  </si>
  <si>
    <t>с.Высокий Колок ( адм. центр)</t>
  </si>
  <si>
    <t>с. Елховый Куст</t>
  </si>
  <si>
    <t>с. Абдреево</t>
  </si>
  <si>
    <r>
      <rPr>
        <i/>
        <sz val="10"/>
        <rFont val="Arial Cyr"/>
        <family val="2"/>
      </rPr>
      <t>с</t>
    </r>
    <r>
      <rPr>
        <u val="single"/>
        <sz val="10"/>
        <rFont val="Arial Cyr"/>
        <family val="2"/>
      </rPr>
      <t>.</t>
    </r>
    <r>
      <rPr>
        <sz val="10"/>
        <rFont val="Arial Cyr"/>
        <family val="0"/>
      </rPr>
      <t>Новая Куликовка</t>
    </r>
  </si>
  <si>
    <t>с.Новая Бесовка</t>
  </si>
  <si>
    <t>с.Лабитово</t>
  </si>
  <si>
    <t>п.Молот</t>
  </si>
  <si>
    <t>Среднеякушкинское сельское поселение</t>
  </si>
  <si>
    <t>с.Средняя  Якушка (адм.центр)</t>
  </si>
  <si>
    <t>с.Верхняя Якушка</t>
  </si>
  <si>
    <t>с. Нижняя Якушка</t>
  </si>
  <si>
    <t>с.Старая  Малыкла</t>
  </si>
  <si>
    <t>Среднесантимирское сельское поселение</t>
  </si>
  <si>
    <t>с.Средний Сантимир (адм.центр)</t>
  </si>
  <si>
    <t>с. Старая Бесовка</t>
  </si>
  <si>
    <t>с.Старый  Сантимир</t>
  </si>
  <si>
    <t>с.Ивановка</t>
  </si>
  <si>
    <t>Всего по Новомалыклинскому району</t>
  </si>
  <si>
    <t>п.Вислая Дубрава</t>
  </si>
  <si>
    <t>Калмаюрское сельское поселение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</si>
  <si>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</si>
  <si>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</si>
  <si>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</si>
  <si>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</si>
  <si>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</si>
  <si>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</si>
  <si>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</si>
  <si>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</si>
  <si>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пос.Белая Рыбка</t>
  </si>
  <si>
    <t>Красноярское сельское поселение</t>
  </si>
  <si>
    <t>пос.Колхозный (адм.центр)</t>
  </si>
  <si>
    <t>с.Красный Яр</t>
  </si>
  <si>
    <t>Мирновское сельское поселение</t>
  </si>
  <si>
    <t>пос.Мирный (адм.центр)</t>
  </si>
  <si>
    <t>с.Архангельское</t>
  </si>
  <si>
    <t>пос.Лощина</t>
  </si>
  <si>
    <t>с.Малаевка</t>
  </si>
  <si>
    <t>Белоярское сельское поселение</t>
  </si>
  <si>
    <t>с.Суходол</t>
  </si>
  <si>
    <t>с.Новый Белый Яр (адм.центр)</t>
  </si>
  <si>
    <t>с.Ст.Белый Яр</t>
  </si>
  <si>
    <t>Начальник МУ Управления финансов муниципального образования "Новомалыклинский район"</t>
  </si>
  <si>
    <t>С.В.Леонтьева</t>
  </si>
  <si>
    <t>Исп. Зубенина С.В.</t>
  </si>
  <si>
    <t>Таблица 4</t>
  </si>
  <si>
    <t>2018г.</t>
  </si>
  <si>
    <t>2019г.</t>
  </si>
  <si>
    <t>2020г.</t>
  </si>
  <si>
    <t>Всего за 3 года</t>
  </si>
  <si>
    <t>Средняя за 3 года</t>
  </si>
  <si>
    <t>Доля, %</t>
  </si>
  <si>
    <t>Формирование, утверждение, исполнение бюджета</t>
  </si>
  <si>
    <t>ЖКХ</t>
  </si>
  <si>
    <t>Культура</t>
  </si>
  <si>
    <t xml:space="preserve">Прочие расходы </t>
  </si>
  <si>
    <t>Всего расходов</t>
  </si>
  <si>
    <t xml:space="preserve">Фактические расходы за счет собственных средств, кроме КОСГУ 251 </t>
  </si>
  <si>
    <t>Расходы, т.р.</t>
  </si>
  <si>
    <t>2018 год</t>
  </si>
  <si>
    <t>2019 год</t>
  </si>
  <si>
    <t>2020 год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</si>
  <si>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</si>
  <si>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</si>
  <si>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</si>
  <si>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</si>
  <si>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</si>
  <si>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</si>
  <si>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Итого расходов</t>
  </si>
  <si>
    <t>Содержание пожарных депо</t>
  </si>
  <si>
    <t>Таблица 5</t>
  </si>
  <si>
    <t xml:space="preserve">Расчет индекса бюджетных расходов поселений, расположенных на территории муниципального образования «Новомалыклинский район» Ульяновской области на 2022 год </t>
  </si>
  <si>
    <t xml:space="preserve">Формирование, утверждение, исполнение бюджета и конторль за исполнением данного бюджета </t>
  </si>
  <si>
    <t>Прочие расходы на решение вопросов местного значения</t>
  </si>
  <si>
    <t>Всего ИБР (гр5+гр9+гр14+гр18)</t>
  </si>
  <si>
    <t>Численность (чел.)</t>
  </si>
  <si>
    <t>Коэффициент масштаба</t>
  </si>
  <si>
    <t>Коэффициент дисперсности</t>
  </si>
  <si>
    <t>ВСЕГО по району</t>
  </si>
  <si>
    <t>Таблица 6</t>
  </si>
  <si>
    <t>с учетом субвенций</t>
  </si>
  <si>
    <t>с учетом субвенций и первой части дотации</t>
  </si>
  <si>
    <t>с учетом первой, второй части дотации и субвенций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</si>
  <si>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</si>
  <si>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</si>
  <si>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</si>
  <si>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Уровень расчетной бюджетной обеспеченности БО1</t>
  </si>
  <si>
    <t>средний уровень расчетной бюджетной обеспеченности У1</t>
  </si>
  <si>
    <t>Таблица 7</t>
  </si>
  <si>
    <t>Доходный потенциал</t>
  </si>
  <si>
    <t>с учетом первой части дотации и субвенций</t>
  </si>
  <si>
    <t>с учетом первой, второй  части дотации и субвенций</t>
  </si>
  <si>
    <t>Налоговый потенциал всего НП</t>
  </si>
  <si>
    <t>субвенции</t>
  </si>
  <si>
    <t xml:space="preserve">Доходный потенциал ДП </t>
  </si>
  <si>
    <t>первая часть дотации</t>
  </si>
  <si>
    <t>вторая часть дотации</t>
  </si>
  <si>
    <t>Таблица 8</t>
  </si>
  <si>
    <t>с учетом налогового потенциала и  субвенций</t>
  </si>
  <si>
    <t>с учетом налогового потенциала, первой части дотации и субвенций</t>
  </si>
  <si>
    <t>с учетом налогового потенциала, первой, второй части дотации и субвенций</t>
  </si>
  <si>
    <t>Доходный потенциал, тыс.руб. ДП</t>
  </si>
  <si>
    <t>Индекс доходного потенциала ИДП (гр4/гр3)/(гр4мр/гр3мр)</t>
  </si>
  <si>
    <t>Таблица 9</t>
  </si>
  <si>
    <t>Сумма дотации из субвенций на 2022 год (тыс. руб.)</t>
  </si>
  <si>
    <t>Сумма дотации из субвенций на 2023 год (тыс. руб.)</t>
  </si>
  <si>
    <t>Таблица 10</t>
  </si>
  <si>
    <t>Субвенции из областного бюджета</t>
  </si>
  <si>
    <t>Индекс бюджетных расходов ИБР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</si>
  <si>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</si>
  <si>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</si>
  <si>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Первая часть дотации (гр7*П)</t>
  </si>
  <si>
    <t>Уровень бюджетной обеспеченности БО1 для распределения второй части дотации</t>
  </si>
  <si>
    <t>Прогноз налоговых, неналоговых доходов, субвенций, 1 части дотации ПДпмр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</si>
  <si>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</si>
  <si>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Вторая часть дотации</t>
  </si>
  <si>
    <t>Всего дотации из местного бюджета на 2018</t>
  </si>
  <si>
    <t>разница 2019-2018</t>
  </si>
  <si>
    <t>разница</t>
  </si>
  <si>
    <t>Всего доходов собственных, дотации из областного и местного бюджета</t>
  </si>
  <si>
    <t>Всего собственных и дотаций 2019г. На 1 человека, руб.</t>
  </si>
  <si>
    <t>Всего налоговый потенциал, дотации на 2019г.</t>
  </si>
  <si>
    <t>Всего налоговый потенциал, дотации на 2019г. На 1 человека, руб.</t>
  </si>
  <si>
    <t>4а</t>
  </si>
  <si>
    <t>средний У1</t>
  </si>
  <si>
    <t>степень отставания 0,1</t>
  </si>
  <si>
    <t>У2</t>
  </si>
  <si>
    <t>Таблица 11</t>
  </si>
  <si>
    <t>Дотация из ОФК</t>
  </si>
  <si>
    <t>Дотация из РФК</t>
  </si>
  <si>
    <t>Всего дотации</t>
  </si>
  <si>
    <t>2021г.</t>
  </si>
  <si>
    <t>2022г.</t>
  </si>
  <si>
    <t>Увеличение   ( + ), уменьшение  ( - )</t>
  </si>
  <si>
    <t>2021 год</t>
  </si>
  <si>
    <t>2022 год</t>
  </si>
  <si>
    <t>Таблица 12</t>
  </si>
  <si>
    <t>тыс.руб.</t>
  </si>
  <si>
    <t>№ п/п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</si>
  <si>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</si>
  <si>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</si>
  <si>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</si>
  <si>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2023 год</t>
  </si>
  <si>
    <t>Определение доли расходов на 2022г.  исходя из фактического расхода без субвенций и субсидий</t>
  </si>
  <si>
    <t>ИБР ((гр3*гр4/гр3)/(гр3мр*гр4мр/гр3мр))*14,1/100</t>
  </si>
  <si>
    <t>ИБР (на 48,5 %)</t>
  </si>
  <si>
    <t>ИБР (28,9%)</t>
  </si>
  <si>
    <t xml:space="preserve">Уровень расчетной бюджетной обеспеченности поселений, расположенных на территории муниципального образования «Новомалыклинский район» Ульяновской области на 2022 год </t>
  </si>
  <si>
    <t>6630,80-итого по поселениям</t>
  </si>
  <si>
    <t>14850,00 итого по поселениям</t>
  </si>
  <si>
    <t xml:space="preserve"> 2021г.</t>
  </si>
  <si>
    <t>ИБР (гр6*гр7*гр8/гр6)/(гр6мр*гр7мр*гр8мр/г6мр))*8,5/100</t>
  </si>
  <si>
    <t>Расчет дотации из районного фонда финансовой поддержки поселений за счет субвенций из областного фонда компенсаций на 2022-2024 годы</t>
  </si>
  <si>
    <t xml:space="preserve">НДФЛ план на 01.10.2021г </t>
  </si>
  <si>
    <t>Расчет доходного потенциала поселений, расположенных на территории муниципального образования «Новомалыклинский район» Ульяновской области на 2022 год</t>
  </si>
  <si>
    <t>Расчет индекса доходного потенциала поселений, расположенных на территории муниципального образования «Новомалыклинский район» Ульяновской области на 2022 год</t>
  </si>
  <si>
    <t>Расчет дотации из фонда финансовой поддержки поселений, расположенных на территории муниципального образования «Новомалыклинский район» Ульяновской области на 2022 год</t>
  </si>
  <si>
    <t>Налоговый потенциал на 2022г.</t>
  </si>
  <si>
    <t>Прогноз собственных доходов на 2022г.</t>
  </si>
  <si>
    <t>Всего дотации из местного бюджета на 2022г.</t>
  </si>
  <si>
    <t>Всего дотации из областного и местного бюджетов на 2022г.</t>
  </si>
  <si>
    <t>Дотация из районного фонда финансовой поддержки поселений, расположенных на территории муниципального образования «Новомалыклинский район» Ульяновской области на 2022 год</t>
  </si>
  <si>
    <t>Прогнозные показатели дотации на выравнивание бюджетной обеспеченности поселений Новомалыклинского района на 2022-2024 года</t>
  </si>
  <si>
    <t>2024 год</t>
  </si>
  <si>
    <t>Сумма дотации из субвенций на 2024 год (тыс. руб.)</t>
  </si>
  <si>
    <t xml:space="preserve">Зем налог план на 01.10.2021 </t>
  </si>
  <si>
    <t xml:space="preserve">План на 01.10.2021 </t>
  </si>
  <si>
    <t xml:space="preserve">ВСЕГО НП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</si>
</sst>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0"/>
    <numFmt numFmtId="168" formatCode="#,##0.00000"/>
    <numFmt numFmtId="169" formatCode="#,##0.0000"/>
  </numFmts>
  <fonts count="7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37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10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i/>
      <sz val="12"/>
      <name val="PT Astra Serif"/>
      <family val="1"/>
    </font>
    <font>
      <i/>
      <sz val="12"/>
      <color indexed="10"/>
      <name val="PT Astra Serif"/>
      <family val="1"/>
    </font>
    <font>
      <i/>
      <sz val="10"/>
      <name val="PT Astra Serif"/>
      <family val="1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PT Astra Serif"/>
      <family val="1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9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40" borderId="0" xfId="0" applyFill="1" applyAlignment="1">
      <alignment/>
    </xf>
    <xf numFmtId="2" fontId="0" fillId="40" borderId="0" xfId="0" applyNumberFormat="1" applyFill="1" applyAlignment="1">
      <alignment/>
    </xf>
    <xf numFmtId="0" fontId="14" fillId="40" borderId="11" xfId="0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2" fontId="0" fillId="40" borderId="0" xfId="0" applyNumberForma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1" xfId="0" applyFill="1" applyBorder="1" applyAlignment="1">
      <alignment/>
    </xf>
    <xf numFmtId="0" fontId="0" fillId="0" borderId="11" xfId="0" applyFont="1" applyBorder="1" applyAlignment="1">
      <alignment wrapText="1"/>
    </xf>
    <xf numFmtId="164" fontId="0" fillId="40" borderId="11" xfId="0" applyNumberFormat="1" applyFon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2" fontId="0" fillId="40" borderId="11" xfId="0" applyNumberFormat="1" applyFill="1" applyBorder="1" applyAlignment="1">
      <alignment/>
    </xf>
    <xf numFmtId="165" fontId="0" fillId="40" borderId="11" xfId="0" applyNumberFormat="1" applyFont="1" applyFill="1" applyBorder="1" applyAlignment="1">
      <alignment/>
    </xf>
    <xf numFmtId="2" fontId="14" fillId="4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40" borderId="0" xfId="0" applyNumberFormat="1" applyFill="1" applyAlignment="1">
      <alignment/>
    </xf>
    <xf numFmtId="0" fontId="0" fillId="40" borderId="11" xfId="0" applyFont="1" applyFill="1" applyBorder="1" applyAlignment="1">
      <alignment wrapText="1"/>
    </xf>
    <xf numFmtId="0" fontId="14" fillId="40" borderId="11" xfId="0" applyFont="1" applyFill="1" applyBorder="1" applyAlignment="1">
      <alignment wrapText="1"/>
    </xf>
    <xf numFmtId="164" fontId="14" fillId="4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4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0" fillId="0" borderId="11" xfId="0" applyFont="1" applyBorder="1" applyAlignment="1">
      <alignment wrapText="1"/>
    </xf>
    <xf numFmtId="2" fontId="20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167" fontId="21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67" fontId="20" fillId="0" borderId="11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40" borderId="0" xfId="0" applyFont="1" applyFill="1" applyAlignment="1">
      <alignment/>
    </xf>
    <xf numFmtId="0" fontId="22" fillId="40" borderId="11" xfId="0" applyFont="1" applyFill="1" applyBorder="1" applyAlignment="1">
      <alignment vertical="center" wrapText="1"/>
    </xf>
    <xf numFmtId="0" fontId="22" fillId="41" borderId="11" xfId="0" applyFont="1" applyFill="1" applyBorder="1" applyAlignment="1">
      <alignment vertical="center" wrapText="1"/>
    </xf>
    <xf numFmtId="0" fontId="22" fillId="41" borderId="12" xfId="0" applyFont="1" applyFill="1" applyBorder="1" applyAlignment="1">
      <alignment vertical="center" wrapText="1"/>
    </xf>
    <xf numFmtId="0" fontId="24" fillId="40" borderId="0" xfId="0" applyFont="1" applyFill="1" applyBorder="1" applyAlignment="1">
      <alignment horizontal="center"/>
    </xf>
    <xf numFmtId="0" fontId="24" fillId="40" borderId="0" xfId="0" applyFont="1" applyFill="1" applyBorder="1" applyAlignment="1">
      <alignment vertical="center" wrapText="1"/>
    </xf>
    <xf numFmtId="0" fontId="25" fillId="40" borderId="11" xfId="0" applyFont="1" applyFill="1" applyBorder="1" applyAlignment="1">
      <alignment wrapText="1"/>
    </xf>
    <xf numFmtId="167" fontId="25" fillId="40" borderId="11" xfId="0" applyNumberFormat="1" applyFont="1" applyFill="1" applyBorder="1" applyAlignment="1">
      <alignment/>
    </xf>
    <xf numFmtId="167" fontId="25" fillId="41" borderId="11" xfId="0" applyNumberFormat="1" applyFont="1" applyFill="1" applyBorder="1" applyAlignment="1">
      <alignment/>
    </xf>
    <xf numFmtId="168" fontId="25" fillId="40" borderId="11" xfId="0" applyNumberFormat="1" applyFont="1" applyFill="1" applyBorder="1" applyAlignment="1">
      <alignment/>
    </xf>
    <xf numFmtId="167" fontId="26" fillId="40" borderId="0" xfId="0" applyNumberFormat="1" applyFont="1" applyFill="1" applyBorder="1" applyAlignment="1">
      <alignment/>
    </xf>
    <xf numFmtId="0" fontId="27" fillId="40" borderId="11" xfId="0" applyFont="1" applyFill="1" applyBorder="1" applyAlignment="1">
      <alignment wrapText="1"/>
    </xf>
    <xf numFmtId="167" fontId="27" fillId="40" borderId="11" xfId="0" applyNumberFormat="1" applyFont="1" applyFill="1" applyBorder="1" applyAlignment="1">
      <alignment/>
    </xf>
    <xf numFmtId="167" fontId="27" fillId="41" borderId="11" xfId="0" applyNumberFormat="1" applyFont="1" applyFill="1" applyBorder="1" applyAlignment="1">
      <alignment/>
    </xf>
    <xf numFmtId="167" fontId="29" fillId="40" borderId="0" xfId="0" applyNumberFormat="1" applyFont="1" applyFill="1" applyBorder="1" applyAlignment="1">
      <alignment/>
    </xf>
    <xf numFmtId="0" fontId="30" fillId="40" borderId="0" xfId="0" applyFont="1" applyFill="1" applyAlignment="1">
      <alignment/>
    </xf>
    <xf numFmtId="0" fontId="22" fillId="40" borderId="11" xfId="0" applyFont="1" applyFill="1" applyBorder="1" applyAlignment="1">
      <alignment wrapText="1"/>
    </xf>
    <xf numFmtId="167" fontId="22" fillId="40" borderId="11" xfId="0" applyNumberFormat="1" applyFont="1" applyFill="1" applyBorder="1" applyAlignment="1">
      <alignment/>
    </xf>
    <xf numFmtId="167" fontId="22" fillId="41" borderId="11" xfId="0" applyNumberFormat="1" applyFont="1" applyFill="1" applyBorder="1" applyAlignment="1">
      <alignment/>
    </xf>
    <xf numFmtId="168" fontId="22" fillId="40" borderId="11" xfId="0" applyNumberFormat="1" applyFont="1" applyFill="1" applyBorder="1" applyAlignment="1">
      <alignment/>
    </xf>
    <xf numFmtId="167" fontId="22" fillId="41" borderId="12" xfId="0" applyNumberFormat="1" applyFont="1" applyFill="1" applyBorder="1" applyAlignment="1">
      <alignment/>
    </xf>
    <xf numFmtId="167" fontId="24" fillId="40" borderId="0" xfId="0" applyNumberFormat="1" applyFont="1" applyFill="1" applyBorder="1" applyAlignment="1">
      <alignment/>
    </xf>
    <xf numFmtId="168" fontId="22" fillId="40" borderId="0" xfId="0" applyNumberFormat="1" applyFont="1" applyFill="1" applyBorder="1" applyAlignment="1">
      <alignment wrapText="1"/>
    </xf>
    <xf numFmtId="168" fontId="0" fillId="40" borderId="0" xfId="0" applyNumberFormat="1" applyFont="1" applyFill="1" applyAlignment="1">
      <alignment/>
    </xf>
    <xf numFmtId="0" fontId="22" fillId="40" borderId="0" xfId="0" applyFont="1" applyFill="1" applyBorder="1" applyAlignment="1">
      <alignment/>
    </xf>
    <xf numFmtId="167" fontId="22" fillId="40" borderId="0" xfId="0" applyNumberFormat="1" applyFont="1" applyFill="1" applyBorder="1" applyAlignment="1">
      <alignment/>
    </xf>
    <xf numFmtId="167" fontId="21" fillId="40" borderId="0" xfId="0" applyNumberFormat="1" applyFont="1" applyFill="1" applyAlignment="1">
      <alignment/>
    </xf>
    <xf numFmtId="167" fontId="21" fillId="40" borderId="13" xfId="0" applyNumberFormat="1" applyFont="1" applyFill="1" applyBorder="1" applyAlignment="1">
      <alignment/>
    </xf>
    <xf numFmtId="167" fontId="21" fillId="40" borderId="0" xfId="0" applyNumberFormat="1" applyFont="1" applyFill="1" applyBorder="1" applyAlignment="1">
      <alignment/>
    </xf>
    <xf numFmtId="167" fontId="21" fillId="40" borderId="14" xfId="0" applyNumberFormat="1" applyFont="1" applyFill="1" applyBorder="1" applyAlignment="1">
      <alignment/>
    </xf>
    <xf numFmtId="167" fontId="0" fillId="40" borderId="0" xfId="0" applyNumberFormat="1" applyFont="1" applyFill="1" applyBorder="1" applyAlignment="1">
      <alignment/>
    </xf>
    <xf numFmtId="0" fontId="31" fillId="40" borderId="0" xfId="0" applyFont="1" applyFill="1" applyAlignment="1">
      <alignment/>
    </xf>
    <xf numFmtId="167" fontId="22" fillId="40" borderId="11" xfId="0" applyNumberFormat="1" applyFont="1" applyFill="1" applyBorder="1" applyAlignment="1">
      <alignment horizontal="center"/>
    </xf>
    <xf numFmtId="167" fontId="22" fillId="40" borderId="11" xfId="0" applyNumberFormat="1" applyFont="1" applyFill="1" applyBorder="1" applyAlignment="1">
      <alignment vertical="center" wrapText="1"/>
    </xf>
    <xf numFmtId="167" fontId="22" fillId="41" borderId="11" xfId="0" applyNumberFormat="1" applyFont="1" applyFill="1" applyBorder="1" applyAlignment="1">
      <alignment vertical="center" wrapText="1"/>
    </xf>
    <xf numFmtId="167" fontId="24" fillId="40" borderId="0" xfId="0" applyNumberFormat="1" applyFont="1" applyFill="1" applyBorder="1" applyAlignment="1">
      <alignment horizontal="center"/>
    </xf>
    <xf numFmtId="167" fontId="24" fillId="40" borderId="0" xfId="0" applyNumberFormat="1" applyFont="1" applyFill="1" applyBorder="1" applyAlignment="1">
      <alignment vertical="center" wrapText="1"/>
    </xf>
    <xf numFmtId="167" fontId="0" fillId="40" borderId="0" xfId="0" applyNumberFormat="1" applyFont="1" applyFill="1" applyAlignment="1">
      <alignment/>
    </xf>
    <xf numFmtId="167" fontId="32" fillId="40" borderId="0" xfId="0" applyNumberFormat="1" applyFont="1" applyFill="1" applyAlignment="1">
      <alignment/>
    </xf>
    <xf numFmtId="167" fontId="30" fillId="40" borderId="0" xfId="0" applyNumberFormat="1" applyFont="1" applyFill="1" applyAlignment="1">
      <alignment/>
    </xf>
    <xf numFmtId="0" fontId="31" fillId="40" borderId="11" xfId="0" applyFont="1" applyFill="1" applyBorder="1" applyAlignment="1">
      <alignment/>
    </xf>
    <xf numFmtId="167" fontId="33" fillId="40" borderId="11" xfId="0" applyNumberFormat="1" applyFont="1" applyFill="1" applyBorder="1" applyAlignment="1">
      <alignment/>
    </xf>
    <xf numFmtId="167" fontId="21" fillId="4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wrapText="1"/>
    </xf>
    <xf numFmtId="166" fontId="35" fillId="0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4" fontId="14" fillId="0" borderId="11" xfId="0" applyNumberFormat="1" applyFont="1" applyBorder="1" applyAlignment="1">
      <alignment/>
    </xf>
    <xf numFmtId="2" fontId="0" fillId="0" borderId="11" xfId="0" applyNumberForma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1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166" fontId="0" fillId="0" borderId="16" xfId="0" applyNumberFormat="1" applyFont="1" applyFill="1" applyBorder="1" applyAlignment="1">
      <alignment horizontal="center" wrapText="1"/>
    </xf>
    <xf numFmtId="166" fontId="14" fillId="0" borderId="16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4" fillId="0" borderId="11" xfId="0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164" fontId="0" fillId="40" borderId="11" xfId="0" applyNumberFormat="1" applyFont="1" applyFill="1" applyBorder="1" applyAlignment="1">
      <alignment wrapText="1"/>
    </xf>
    <xf numFmtId="0" fontId="0" fillId="40" borderId="0" xfId="0" applyFill="1" applyAlignment="1">
      <alignment wrapText="1"/>
    </xf>
    <xf numFmtId="0" fontId="0" fillId="40" borderId="11" xfId="0" applyFill="1" applyBorder="1" applyAlignment="1">
      <alignment horizontal="center" wrapText="1"/>
    </xf>
    <xf numFmtId="0" fontId="0" fillId="40" borderId="11" xfId="0" applyNumberFormat="1" applyFill="1" applyBorder="1" applyAlignment="1">
      <alignment horizontal="center" wrapText="1"/>
    </xf>
    <xf numFmtId="0" fontId="0" fillId="40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4" fontId="0" fillId="40" borderId="11" xfId="0" applyNumberForma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4" fontId="14" fillId="40" borderId="11" xfId="0" applyNumberFormat="1" applyFont="1" applyFill="1" applyBorder="1" applyAlignment="1">
      <alignment/>
    </xf>
    <xf numFmtId="166" fontId="0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4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1" xfId="0" applyNumberFormat="1" applyBorder="1" applyAlignment="1">
      <alignment wrapText="1"/>
    </xf>
    <xf numFmtId="168" fontId="14" fillId="0" borderId="11" xfId="0" applyNumberFormat="1" applyFont="1" applyBorder="1" applyAlignment="1">
      <alignment/>
    </xf>
    <xf numFmtId="168" fontId="14" fillId="0" borderId="0" xfId="0" applyNumberFormat="1" applyFont="1" applyBorder="1" applyAlignment="1">
      <alignment/>
    </xf>
    <xf numFmtId="2" fontId="14" fillId="4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40" borderId="0" xfId="0" applyFont="1" applyFill="1" applyAlignment="1">
      <alignment/>
    </xf>
    <xf numFmtId="0" fontId="0" fillId="0" borderId="0" xfId="0" applyFont="1" applyAlignment="1">
      <alignment/>
    </xf>
    <xf numFmtId="2" fontId="14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2" fontId="0" fillId="0" borderId="0" xfId="0" applyNumberFormat="1" applyFont="1" applyAlignment="1">
      <alignment/>
    </xf>
    <xf numFmtId="0" fontId="0" fillId="40" borderId="11" xfId="0" applyFont="1" applyFill="1" applyBorder="1" applyAlignment="1">
      <alignment horizontal="center" vertical="center" wrapText="1"/>
    </xf>
    <xf numFmtId="2" fontId="14" fillId="4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11" xfId="0" applyNumberFormat="1" applyFont="1" applyBorder="1" applyAlignment="1">
      <alignment horizontal="center" wrapText="1"/>
    </xf>
    <xf numFmtId="0" fontId="35" fillId="40" borderId="11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8" fontId="14" fillId="0" borderId="11" xfId="0" applyNumberFormat="1" applyFont="1" applyFill="1" applyBorder="1" applyAlignment="1">
      <alignment/>
    </xf>
    <xf numFmtId="168" fontId="14" fillId="4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14" fillId="0" borderId="11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2" fontId="0" fillId="40" borderId="0" xfId="0" applyNumberFormat="1" applyFont="1" applyFill="1" applyAlignment="1">
      <alignment/>
    </xf>
    <xf numFmtId="164" fontId="14" fillId="40" borderId="12" xfId="0" applyNumberFormat="1" applyFont="1" applyFill="1" applyBorder="1" applyAlignment="1">
      <alignment horizontal="center"/>
    </xf>
    <xf numFmtId="0" fontId="0" fillId="40" borderId="11" xfId="0" applyFont="1" applyFill="1" applyBorder="1" applyAlignment="1">
      <alignment/>
    </xf>
    <xf numFmtId="2" fontId="14" fillId="40" borderId="11" xfId="0" applyNumberFormat="1" applyFont="1" applyFill="1" applyBorder="1" applyAlignment="1">
      <alignment wrapText="1"/>
    </xf>
    <xf numFmtId="164" fontId="14" fillId="40" borderId="11" xfId="0" applyNumberFormat="1" applyFont="1" applyFill="1" applyBorder="1" applyAlignment="1">
      <alignment wrapText="1"/>
    </xf>
    <xf numFmtId="168" fontId="0" fillId="40" borderId="11" xfId="0" applyNumberFormat="1" applyFont="1" applyFill="1" applyBorder="1" applyAlignment="1">
      <alignment/>
    </xf>
    <xf numFmtId="168" fontId="37" fillId="40" borderId="11" xfId="0" applyNumberFormat="1" applyFont="1" applyFill="1" applyBorder="1" applyAlignment="1">
      <alignment/>
    </xf>
    <xf numFmtId="168" fontId="14" fillId="40" borderId="11" xfId="0" applyNumberFormat="1" applyFont="1" applyFill="1" applyBorder="1" applyAlignment="1">
      <alignment wrapText="1"/>
    </xf>
    <xf numFmtId="0" fontId="0" fillId="40" borderId="0" xfId="0" applyFont="1" applyFill="1" applyAlignment="1">
      <alignment wrapText="1"/>
    </xf>
    <xf numFmtId="4" fontId="0" fillId="40" borderId="0" xfId="0" applyNumberFormat="1" applyFont="1" applyFill="1" applyAlignment="1">
      <alignment wrapText="1"/>
    </xf>
    <xf numFmtId="4" fontId="14" fillId="40" borderId="0" xfId="0" applyNumberFormat="1" applyFont="1" applyFill="1" applyAlignment="1">
      <alignment/>
    </xf>
    <xf numFmtId="4" fontId="0" fillId="40" borderId="0" xfId="0" applyNumberFormat="1" applyFont="1" applyFill="1" applyAlignment="1">
      <alignment/>
    </xf>
    <xf numFmtId="167" fontId="14" fillId="40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25" fillId="4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/>
    </xf>
    <xf numFmtId="168" fontId="25" fillId="0" borderId="11" xfId="0" applyNumberFormat="1" applyFont="1" applyBorder="1" applyAlignment="1">
      <alignment wrapText="1"/>
    </xf>
    <xf numFmtId="168" fontId="25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8" fontId="22" fillId="0" borderId="11" xfId="0" applyNumberFormat="1" applyFont="1" applyBorder="1" applyAlignment="1">
      <alignment wrapText="1"/>
    </xf>
    <xf numFmtId="168" fontId="27" fillId="40" borderId="11" xfId="0" applyNumberFormat="1" applyFont="1" applyFill="1" applyBorder="1" applyAlignment="1">
      <alignment/>
    </xf>
    <xf numFmtId="168" fontId="25" fillId="41" borderId="11" xfId="0" applyNumberFormat="1" applyFont="1" applyFill="1" applyBorder="1" applyAlignment="1">
      <alignment/>
    </xf>
    <xf numFmtId="168" fontId="28" fillId="41" borderId="11" xfId="0" applyNumberFormat="1" applyFont="1" applyFill="1" applyBorder="1" applyAlignment="1">
      <alignment/>
    </xf>
    <xf numFmtId="168" fontId="27" fillId="41" borderId="11" xfId="0" applyNumberFormat="1" applyFont="1" applyFill="1" applyBorder="1" applyAlignment="1">
      <alignment/>
    </xf>
    <xf numFmtId="168" fontId="22" fillId="41" borderId="11" xfId="0" applyNumberFormat="1" applyFont="1" applyFill="1" applyBorder="1" applyAlignment="1">
      <alignment/>
    </xf>
    <xf numFmtId="168" fontId="25" fillId="41" borderId="12" xfId="0" applyNumberFormat="1" applyFont="1" applyFill="1" applyBorder="1" applyAlignment="1">
      <alignment/>
    </xf>
    <xf numFmtId="168" fontId="27" fillId="41" borderId="12" xfId="0" applyNumberFormat="1" applyFont="1" applyFill="1" applyBorder="1" applyAlignment="1">
      <alignment/>
    </xf>
    <xf numFmtId="168" fontId="22" fillId="41" borderId="12" xfId="0" applyNumberFormat="1" applyFont="1" applyFill="1" applyBorder="1" applyAlignment="1">
      <alignment/>
    </xf>
    <xf numFmtId="0" fontId="2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49" fontId="14" fillId="40" borderId="13" xfId="0" applyNumberFormat="1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2" fillId="40" borderId="0" xfId="0" applyFont="1" applyFill="1" applyBorder="1" applyAlignment="1">
      <alignment horizontal="center" wrapText="1"/>
    </xf>
    <xf numFmtId="0" fontId="23" fillId="40" borderId="0" xfId="0" applyFont="1" applyFill="1" applyBorder="1" applyAlignment="1">
      <alignment horizontal="right"/>
    </xf>
    <xf numFmtId="0" fontId="22" fillId="40" borderId="11" xfId="0" applyFont="1" applyFill="1" applyBorder="1" applyAlignment="1">
      <alignment horizontal="center"/>
    </xf>
    <xf numFmtId="49" fontId="22" fillId="40" borderId="11" xfId="0" applyNumberFormat="1" applyFont="1" applyFill="1" applyBorder="1" applyAlignment="1">
      <alignment horizontal="center" vertical="top" wrapText="1"/>
    </xf>
    <xf numFmtId="49" fontId="22" fillId="40" borderId="12" xfId="0" applyNumberFormat="1" applyFont="1" applyFill="1" applyBorder="1" applyAlignment="1">
      <alignment horizontal="center" vertical="top" wrapText="1"/>
    </xf>
    <xf numFmtId="49" fontId="24" fillId="40" borderId="0" xfId="0" applyNumberFormat="1" applyFont="1" applyFill="1" applyBorder="1" applyAlignment="1">
      <alignment horizontal="center" vertical="top" wrapText="1"/>
    </xf>
    <xf numFmtId="167" fontId="22" fillId="40" borderId="11" xfId="0" applyNumberFormat="1" applyFont="1" applyFill="1" applyBorder="1" applyAlignment="1">
      <alignment horizontal="center" vertical="top" wrapText="1"/>
    </xf>
    <xf numFmtId="167" fontId="24" fillId="4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5" fillId="40" borderId="0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4" fillId="40" borderId="18" xfId="0" applyFont="1" applyFill="1" applyBorder="1" applyAlignment="1">
      <alignment horizontal="center" vertical="center" wrapText="1"/>
    </xf>
    <xf numFmtId="164" fontId="14" fillId="40" borderId="11" xfId="0" applyNumberFormat="1" applyFont="1" applyFill="1" applyBorder="1" applyAlignment="1">
      <alignment horizontal="center"/>
    </xf>
    <xf numFmtId="2" fontId="14" fillId="40" borderId="1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5.875" style="1" customWidth="1"/>
    <col min="2" max="2" width="23.25390625" style="1" customWidth="1"/>
    <col min="3" max="3" width="10.875" style="1" customWidth="1"/>
    <col min="4" max="4" width="9.875" style="1" customWidth="1"/>
    <col min="5" max="5" width="16.375" style="1" customWidth="1"/>
    <col min="6" max="6" width="11.125" style="1" customWidth="1"/>
    <col min="7" max="7" width="12.25390625" style="1" customWidth="1"/>
    <col min="8" max="8" width="9.25390625" style="1" customWidth="1"/>
    <col min="9" max="9" width="12.125" style="1" customWidth="1"/>
    <col min="10" max="10" width="11.875" style="1" customWidth="1"/>
    <col min="11" max="11" width="13.25390625" style="1" customWidth="1"/>
    <col min="12" max="12" width="12.25390625" style="1" customWidth="1"/>
    <col min="13" max="13" width="11.875" style="1" hidden="1" customWidth="1"/>
    <col min="14" max="14" width="9.25390625" style="2" hidden="1" customWidth="1"/>
    <col min="15" max="15" width="9.00390625" style="1" hidden="1" customWidth="1"/>
    <col min="16" max="16" width="17.375" style="1" hidden="1" customWidth="1"/>
    <col min="17" max="16384" width="9.125" style="1" customWidth="1"/>
  </cols>
  <sheetData>
    <row r="1" ht="12.75">
      <c r="K1" s="1" t="s">
        <v>0</v>
      </c>
    </row>
    <row r="3" spans="1:12" ht="38.25" customHeight="1">
      <c r="A3" s="244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5" spans="1:14" s="6" customFormat="1" ht="12.75" customHeight="1">
      <c r="A5" s="245" t="s">
        <v>2</v>
      </c>
      <c r="B5" s="245" t="s">
        <v>3</v>
      </c>
      <c r="C5" s="245" t="s">
        <v>4</v>
      </c>
      <c r="D5" s="245"/>
      <c r="E5" s="245"/>
      <c r="F5" s="245" t="s">
        <v>5</v>
      </c>
      <c r="G5" s="245"/>
      <c r="H5" s="245"/>
      <c r="I5" s="245" t="s">
        <v>6</v>
      </c>
      <c r="J5" s="245"/>
      <c r="K5" s="245"/>
      <c r="L5" s="246" t="s">
        <v>212</v>
      </c>
      <c r="M5" s="243"/>
      <c r="N5" s="5"/>
    </row>
    <row r="6" spans="1:14" s="6" customFormat="1" ht="99.75" customHeight="1">
      <c r="A6" s="245"/>
      <c r="B6" s="245"/>
      <c r="C6" s="3" t="s">
        <v>198</v>
      </c>
      <c r="D6" s="3" t="s">
        <v>7</v>
      </c>
      <c r="E6" s="3" t="s">
        <v>8</v>
      </c>
      <c r="F6" s="3" t="s">
        <v>210</v>
      </c>
      <c r="G6" s="3" t="s">
        <v>7</v>
      </c>
      <c r="H6" s="3" t="s">
        <v>9</v>
      </c>
      <c r="I6" s="4" t="s">
        <v>211</v>
      </c>
      <c r="J6" s="3" t="s">
        <v>7</v>
      </c>
      <c r="K6" s="4" t="s">
        <v>10</v>
      </c>
      <c r="L6" s="246"/>
      <c r="M6" s="243"/>
      <c r="N6" s="5"/>
    </row>
    <row r="7" spans="1:16" ht="25.5">
      <c r="A7" s="7">
        <v>1</v>
      </c>
      <c r="B7" s="8" t="s">
        <v>11</v>
      </c>
      <c r="C7" s="9">
        <v>4032.8</v>
      </c>
      <c r="D7" s="10">
        <f>C7/C15</f>
        <v>0.608192073354648</v>
      </c>
      <c r="E7" s="11">
        <f>E15*D7</f>
        <v>4321.204681184774</v>
      </c>
      <c r="F7" s="9">
        <v>4450</v>
      </c>
      <c r="G7" s="11">
        <f>F7/F15</f>
        <v>0.2996632996632997</v>
      </c>
      <c r="H7" s="10">
        <f>H15*G7</f>
        <v>4285.185185185185</v>
      </c>
      <c r="I7" s="12">
        <v>315</v>
      </c>
      <c r="J7" s="11">
        <f>I7/I15</f>
        <v>0.45</v>
      </c>
      <c r="K7" s="11">
        <f>K15*J7</f>
        <v>310.05</v>
      </c>
      <c r="L7" s="13">
        <f>+E7+H7+K7</f>
        <v>8916.439866369958</v>
      </c>
      <c r="M7" s="13">
        <f aca="true" t="shared" si="0" ref="M7:M15">+I7+F7+C7</f>
        <v>8797.8</v>
      </c>
      <c r="N7" s="2">
        <f aca="true" t="shared" si="1" ref="N7:N15">+L7-M7</f>
        <v>118.63986636995833</v>
      </c>
      <c r="O7" s="14">
        <v>6285.5</v>
      </c>
      <c r="P7" s="15">
        <f aca="true" t="shared" si="2" ref="P7:P15">+O7-E7</f>
        <v>1964.295318815226</v>
      </c>
    </row>
    <row r="8" spans="1:16" ht="25.5">
      <c r="A8" s="7">
        <v>2</v>
      </c>
      <c r="B8" s="8" t="s">
        <v>12</v>
      </c>
      <c r="C8" s="9">
        <v>458</v>
      </c>
      <c r="D8" s="10">
        <f>C8/C15</f>
        <v>0.06907160523617059</v>
      </c>
      <c r="E8" s="11">
        <f>E15*D8</f>
        <v>490.75375520299207</v>
      </c>
      <c r="F8" s="9">
        <v>1850</v>
      </c>
      <c r="G8" s="11">
        <f>F8/F15</f>
        <v>0.12457912457912458</v>
      </c>
      <c r="H8" s="10">
        <f>H15*G8</f>
        <v>1781.4814814814815</v>
      </c>
      <c r="I8" s="12">
        <v>136</v>
      </c>
      <c r="J8" s="11">
        <f>I8/I15</f>
        <v>0.19428571428571428</v>
      </c>
      <c r="K8" s="11">
        <f>K15*J8</f>
        <v>133.86285714285714</v>
      </c>
      <c r="L8" s="13">
        <f>+E8+H8+K8</f>
        <v>2406.0980938273306</v>
      </c>
      <c r="M8" s="13">
        <f t="shared" si="0"/>
        <v>2444</v>
      </c>
      <c r="N8" s="2">
        <f t="shared" si="1"/>
        <v>-37.90190617266944</v>
      </c>
      <c r="O8" s="14">
        <v>5032.5</v>
      </c>
      <c r="P8" s="15">
        <f t="shared" si="2"/>
        <v>4541.746244797008</v>
      </c>
    </row>
    <row r="9" spans="1:16" ht="25.5">
      <c r="A9" s="7">
        <v>3</v>
      </c>
      <c r="B9" s="8" t="s">
        <v>13</v>
      </c>
      <c r="C9" s="9">
        <v>447</v>
      </c>
      <c r="D9" s="10">
        <f>C9/C15</f>
        <v>0.06741268021958134</v>
      </c>
      <c r="E9" s="11">
        <f>E15*D9</f>
        <v>478.96709296012546</v>
      </c>
      <c r="F9" s="9">
        <v>4000</v>
      </c>
      <c r="G9" s="11">
        <f>F9/F15</f>
        <v>0.26936026936026936</v>
      </c>
      <c r="H9" s="10">
        <f>H15*G9</f>
        <v>3851.8518518518517</v>
      </c>
      <c r="I9" s="12">
        <v>93</v>
      </c>
      <c r="J9" s="11">
        <f>I9/I15</f>
        <v>0.13285714285714287</v>
      </c>
      <c r="K9" s="11">
        <f>K15*J9</f>
        <v>91.53857142857143</v>
      </c>
      <c r="L9" s="13">
        <f>+E9+H9+K9</f>
        <v>4422.357516240549</v>
      </c>
      <c r="M9" s="13">
        <f t="shared" si="0"/>
        <v>4540</v>
      </c>
      <c r="N9" s="2">
        <f t="shared" si="1"/>
        <v>-117.64248375945135</v>
      </c>
      <c r="O9" s="14">
        <v>690</v>
      </c>
      <c r="P9" s="15">
        <f t="shared" si="2"/>
        <v>211.03290703987454</v>
      </c>
    </row>
    <row r="10" spans="1:16" ht="25.5">
      <c r="A10" s="7">
        <v>4</v>
      </c>
      <c r="B10" s="8" t="s">
        <v>14</v>
      </c>
      <c r="C10" s="9">
        <v>1260</v>
      </c>
      <c r="D10" s="10">
        <f>C10/C15</f>
        <v>0.19002232008204137</v>
      </c>
      <c r="E10" s="11">
        <f>E15*D10</f>
        <v>1350.108584182904</v>
      </c>
      <c r="F10" s="9">
        <v>2800</v>
      </c>
      <c r="G10" s="11">
        <f>F10/F15</f>
        <v>0.18855218855218855</v>
      </c>
      <c r="H10" s="10">
        <f>H15*G10</f>
        <v>2696.2962962962965</v>
      </c>
      <c r="I10" s="12">
        <v>116</v>
      </c>
      <c r="J10" s="11">
        <f>I10/I15</f>
        <v>0.1657142857142857</v>
      </c>
      <c r="K10" s="11">
        <f>K15*J10</f>
        <v>114.17714285714285</v>
      </c>
      <c r="L10" s="13">
        <f>+E10+H10+K10</f>
        <v>4160.582023336344</v>
      </c>
      <c r="M10" s="13">
        <f t="shared" si="0"/>
        <v>4176</v>
      </c>
      <c r="N10" s="2">
        <f t="shared" si="1"/>
        <v>-15.41797666365619</v>
      </c>
      <c r="O10" s="14">
        <v>482</v>
      </c>
      <c r="P10" s="15">
        <f t="shared" si="2"/>
        <v>-868.108584182904</v>
      </c>
    </row>
    <row r="11" spans="1:16" ht="25.5">
      <c r="A11" s="7">
        <v>5</v>
      </c>
      <c r="B11" s="8" t="s">
        <v>15</v>
      </c>
      <c r="C11" s="9">
        <v>433</v>
      </c>
      <c r="D11" s="10">
        <f>C11/C15</f>
        <v>0.06530132110755867</v>
      </c>
      <c r="E11" s="11">
        <f>E15*D11</f>
        <v>463.9658864692043</v>
      </c>
      <c r="F11" s="9">
        <v>1750</v>
      </c>
      <c r="G11" s="11">
        <f>F11/F15</f>
        <v>0.11784511784511785</v>
      </c>
      <c r="H11" s="10">
        <f>H15*G11</f>
        <v>1685.1851851851852</v>
      </c>
      <c r="I11" s="12">
        <v>40</v>
      </c>
      <c r="J11" s="11">
        <f>I11/I15</f>
        <v>0.05714285714285714</v>
      </c>
      <c r="K11" s="11">
        <f>K15*J11</f>
        <v>39.371428571428574</v>
      </c>
      <c r="L11" s="13">
        <f>+E11+H11+K11</f>
        <v>2188.522500225818</v>
      </c>
      <c r="M11" s="13">
        <f t="shared" si="0"/>
        <v>2223</v>
      </c>
      <c r="N11" s="2">
        <f t="shared" si="1"/>
        <v>-34.47749977418198</v>
      </c>
      <c r="O11" s="14">
        <v>1143</v>
      </c>
      <c r="P11" s="15">
        <f t="shared" si="2"/>
        <v>679.0341135307957</v>
      </c>
    </row>
    <row r="12" spans="1:16" ht="12.75">
      <c r="A12" s="7">
        <v>6</v>
      </c>
      <c r="B12" s="16"/>
      <c r="C12" s="9"/>
      <c r="D12" s="10"/>
      <c r="E12" s="11"/>
      <c r="F12" s="9"/>
      <c r="G12" s="11"/>
      <c r="H12" s="10"/>
      <c r="I12" s="12"/>
      <c r="J12" s="11"/>
      <c r="K12" s="11"/>
      <c r="L12" s="13"/>
      <c r="M12" s="13">
        <f t="shared" si="0"/>
        <v>0</v>
      </c>
      <c r="N12" s="2">
        <f t="shared" si="1"/>
        <v>0</v>
      </c>
      <c r="O12" s="14">
        <v>2707</v>
      </c>
      <c r="P12" s="15">
        <f t="shared" si="2"/>
        <v>2707</v>
      </c>
    </row>
    <row r="13" spans="1:16" ht="12.75">
      <c r="A13" s="7">
        <v>7</v>
      </c>
      <c r="B13" s="16"/>
      <c r="C13" s="9"/>
      <c r="D13" s="10"/>
      <c r="E13" s="11"/>
      <c r="F13" s="9"/>
      <c r="G13" s="11"/>
      <c r="H13" s="10"/>
      <c r="I13" s="12"/>
      <c r="J13" s="11"/>
      <c r="K13" s="11"/>
      <c r="L13" s="13"/>
      <c r="M13" s="13">
        <f t="shared" si="0"/>
        <v>0</v>
      </c>
      <c r="N13" s="2">
        <f t="shared" si="1"/>
        <v>0</v>
      </c>
      <c r="O13" s="14">
        <v>498</v>
      </c>
      <c r="P13" s="15">
        <f t="shared" si="2"/>
        <v>498</v>
      </c>
    </row>
    <row r="14" spans="1:16" ht="12.75">
      <c r="A14" s="7">
        <v>8</v>
      </c>
      <c r="B14" s="16"/>
      <c r="C14" s="9"/>
      <c r="D14" s="10"/>
      <c r="E14" s="11"/>
      <c r="F14" s="9"/>
      <c r="G14" s="11"/>
      <c r="H14" s="10"/>
      <c r="I14" s="12"/>
      <c r="J14" s="11"/>
      <c r="K14" s="11"/>
      <c r="L14" s="13"/>
      <c r="M14" s="13">
        <f t="shared" si="0"/>
        <v>0</v>
      </c>
      <c r="N14" s="2">
        <f t="shared" si="1"/>
        <v>0</v>
      </c>
      <c r="O14" s="14">
        <v>3276</v>
      </c>
      <c r="P14" s="15">
        <f t="shared" si="2"/>
        <v>3276</v>
      </c>
    </row>
    <row r="15" spans="1:16" ht="12.75">
      <c r="A15" s="7"/>
      <c r="B15" s="17" t="s">
        <v>16</v>
      </c>
      <c r="C15" s="18">
        <f>SUM(C7:C14)</f>
        <v>6630.8</v>
      </c>
      <c r="D15" s="13">
        <f>D7+D8+D9+D10+D11+D12+D13+D14</f>
        <v>1</v>
      </c>
      <c r="E15" s="13">
        <v>7105</v>
      </c>
      <c r="F15" s="13">
        <f>SUM(F7:F14)</f>
        <v>14850</v>
      </c>
      <c r="G15" s="13">
        <f>SUM(G7:G14)</f>
        <v>1</v>
      </c>
      <c r="H15" s="13">
        <v>14300</v>
      </c>
      <c r="I15" s="13">
        <f>SUM(I7:I14)</f>
        <v>700</v>
      </c>
      <c r="J15" s="13">
        <f>SUM(J7:J14)</f>
        <v>1</v>
      </c>
      <c r="K15" s="13">
        <v>689</v>
      </c>
      <c r="L15" s="13">
        <f>SUM(L7:L14)</f>
        <v>22094</v>
      </c>
      <c r="M15" s="13">
        <f t="shared" si="0"/>
        <v>22180.8</v>
      </c>
      <c r="N15" s="2">
        <f t="shared" si="1"/>
        <v>-86.79999999999927</v>
      </c>
      <c r="O15" s="15">
        <f>SUM(O7:O14)</f>
        <v>20114</v>
      </c>
      <c r="P15" s="15">
        <f t="shared" si="2"/>
        <v>13009</v>
      </c>
    </row>
    <row r="17" ht="17.25" customHeight="1"/>
    <row r="18" ht="12.75">
      <c r="B18" s="1" t="s">
        <v>193</v>
      </c>
    </row>
    <row r="19" ht="12.75">
      <c r="B19" s="1" t="s">
        <v>194</v>
      </c>
    </row>
  </sheetData>
  <sheetProtection selectLockedCells="1" selectUnlockedCells="1"/>
  <mergeCells count="8">
    <mergeCell ref="M5:M6"/>
    <mergeCell ref="A3:L3"/>
    <mergeCell ref="A5:A6"/>
    <mergeCell ref="B5:B6"/>
    <mergeCell ref="C5:E5"/>
    <mergeCell ref="F5:H5"/>
    <mergeCell ref="I5:K5"/>
    <mergeCell ref="L5:L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8"/>
  <sheetViews>
    <sheetView zoomScale="80" zoomScaleNormal="8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6" sqref="N16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40" customWidth="1"/>
    <col min="6" max="6" width="12.375" style="172" customWidth="1"/>
    <col min="7" max="7" width="12.00390625" style="137" customWidth="1"/>
    <col min="8" max="8" width="10.875" style="137" customWidth="1"/>
    <col min="9" max="9" width="16.125" style="0" customWidth="1"/>
    <col min="10" max="10" width="16.75390625" style="173" customWidth="1"/>
    <col min="11" max="11" width="11.125" style="116" customWidth="1"/>
    <col min="12" max="12" width="13.375" style="116" customWidth="1"/>
    <col min="13" max="13" width="16.75390625" style="116" customWidth="1"/>
    <col min="14" max="14" width="13.875" style="116" customWidth="1"/>
    <col min="15" max="15" width="16.75390625" style="174" customWidth="1"/>
    <col min="16" max="16" width="0.2421875" style="94" hidden="1" customWidth="1"/>
    <col min="17" max="17" width="9.25390625" style="175" hidden="1" customWidth="1"/>
    <col min="18" max="18" width="12.75390625" style="176" customWidth="1"/>
    <col min="19" max="19" width="9.75390625" style="173" hidden="1" customWidth="1"/>
    <col min="20" max="21" width="11.25390625" style="173" hidden="1" customWidth="1"/>
    <col min="22" max="22" width="10.875" style="173" hidden="1" customWidth="1"/>
    <col min="23" max="23" width="11.25390625" style="116" hidden="1" customWidth="1"/>
    <col min="24" max="24" width="10.625" style="173" hidden="1" customWidth="1"/>
    <col min="25" max="25" width="9.00390625" style="0" customWidth="1"/>
    <col min="26" max="26" width="12.00390625" style="0" customWidth="1"/>
  </cols>
  <sheetData>
    <row r="1" ht="12.75">
      <c r="N1" s="116" t="s">
        <v>151</v>
      </c>
    </row>
    <row r="2" spans="1:22" ht="54" customHeight="1">
      <c r="A2" s="272" t="s">
        <v>201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177"/>
      <c r="T2" s="177"/>
      <c r="U2" s="177"/>
      <c r="V2" s="177"/>
    </row>
    <row r="3" spans="15:17" ht="1.5" customHeight="1">
      <c r="O3" s="172"/>
      <c r="P3" s="115"/>
      <c r="Q3" s="178"/>
    </row>
    <row r="4" spans="1:24" s="188" customFormat="1" ht="198" customHeight="1">
      <c r="A4" s="164" t="s">
        <v>2</v>
      </c>
      <c r="B4" s="164" t="s">
        <v>3</v>
      </c>
      <c r="C4" s="179" t="s">
        <v>19</v>
      </c>
      <c r="D4" s="241" t="s">
        <v>202</v>
      </c>
      <c r="E4" s="242" t="s">
        <v>203</v>
      </c>
      <c r="F4" s="180" t="s">
        <v>152</v>
      </c>
      <c r="G4" s="181" t="s">
        <v>153</v>
      </c>
      <c r="H4" s="181" t="s">
        <v>154</v>
      </c>
      <c r="I4" s="164" t="s">
        <v>155</v>
      </c>
      <c r="J4" s="182" t="s">
        <v>156</v>
      </c>
      <c r="K4" s="183" t="s">
        <v>157</v>
      </c>
      <c r="L4" s="181" t="s">
        <v>158</v>
      </c>
      <c r="M4" s="164" t="s">
        <v>159</v>
      </c>
      <c r="N4" s="184" t="s">
        <v>160</v>
      </c>
      <c r="O4" s="180" t="s">
        <v>204</v>
      </c>
      <c r="P4" s="185" t="s">
        <v>161</v>
      </c>
      <c r="Q4" s="166" t="s">
        <v>162</v>
      </c>
      <c r="R4" s="186" t="s">
        <v>205</v>
      </c>
      <c r="S4" s="182">
        <v>2018</v>
      </c>
      <c r="T4" s="182" t="s">
        <v>163</v>
      </c>
      <c r="U4" s="187" t="s">
        <v>164</v>
      </c>
      <c r="V4" s="182" t="s">
        <v>165</v>
      </c>
      <c r="W4" s="187" t="s">
        <v>166</v>
      </c>
      <c r="X4" s="187" t="s">
        <v>167</v>
      </c>
    </row>
    <row r="5" spans="1:24" ht="12.75">
      <c r="A5" s="96">
        <v>1</v>
      </c>
      <c r="B5" s="96">
        <v>2</v>
      </c>
      <c r="C5" s="96">
        <v>3</v>
      </c>
      <c r="D5" s="96"/>
      <c r="E5" s="189">
        <v>4</v>
      </c>
      <c r="F5" s="190" t="s">
        <v>168</v>
      </c>
      <c r="G5" s="189">
        <v>5</v>
      </c>
      <c r="H5" s="189">
        <v>6</v>
      </c>
      <c r="I5" s="96">
        <v>7</v>
      </c>
      <c r="J5" s="98">
        <v>8</v>
      </c>
      <c r="K5" s="97">
        <v>9</v>
      </c>
      <c r="L5" s="97">
        <v>10</v>
      </c>
      <c r="M5" s="97">
        <v>11</v>
      </c>
      <c r="N5" s="97">
        <v>12</v>
      </c>
      <c r="O5" s="191">
        <v>13</v>
      </c>
      <c r="P5" s="192"/>
      <c r="Q5" s="193"/>
      <c r="R5" s="131">
        <v>14</v>
      </c>
      <c r="S5" s="98"/>
      <c r="T5" s="194"/>
      <c r="U5" s="194"/>
      <c r="V5" s="194"/>
      <c r="W5" s="36"/>
      <c r="X5" s="194"/>
    </row>
    <row r="6" spans="1:26" ht="41.25" customHeight="1">
      <c r="A6" s="20">
        <v>1</v>
      </c>
      <c r="B6" s="8" t="s">
        <v>11</v>
      </c>
      <c r="C6" s="108">
        <f>'Коэф.масшт.'!C5</f>
        <v>4513</v>
      </c>
      <c r="D6" s="152">
        <f>+'Налоговый потен'!L7</f>
        <v>8916.439866369958</v>
      </c>
      <c r="E6" s="152">
        <v>9127.8</v>
      </c>
      <c r="F6" s="154">
        <f>'субв от числ уточ'!D6</f>
        <v>1722.6362519278225</v>
      </c>
      <c r="G6" s="156">
        <f>+ИБР!R7</f>
        <v>1.1208573541743134</v>
      </c>
      <c r="H6" s="156">
        <f>БО!D6</f>
        <v>1.0085351385644157</v>
      </c>
      <c r="I6" s="156">
        <f>(E14/C14)*(H15-H6)*G6*C6</f>
        <v>-3110.795706954581</v>
      </c>
      <c r="J6" s="134">
        <v>0</v>
      </c>
      <c r="K6" s="195">
        <f>БО!G6</f>
        <v>0.9953333663013517</v>
      </c>
      <c r="L6" s="195">
        <f>E6+F6+J6</f>
        <v>10850.436251927822</v>
      </c>
      <c r="M6" s="195">
        <f>(L14/C14)*(1-K6)*G6*C6</f>
        <v>54.07490773294284</v>
      </c>
      <c r="N6" s="196">
        <f>(2752.5-J14)*M6/M14</f>
        <v>8.63959053011374</v>
      </c>
      <c r="O6" s="197">
        <f>J6+N6</f>
        <v>8.63959053011374</v>
      </c>
      <c r="P6" s="109">
        <v>0</v>
      </c>
      <c r="Q6" s="14">
        <f>O6-P6</f>
        <v>8.63959053011374</v>
      </c>
      <c r="R6" s="134">
        <f>F6+O6</f>
        <v>1731.2758424579363</v>
      </c>
      <c r="S6" s="198">
        <v>4005.19</v>
      </c>
      <c r="T6" s="199">
        <f aca="true" t="shared" si="0" ref="T6:T14">R6-S6</f>
        <v>-2273.9141575420635</v>
      </c>
      <c r="U6" s="199">
        <f aca="true" t="shared" si="1" ref="U6:U14">E6+R6</f>
        <v>10859.075842457936</v>
      </c>
      <c r="V6" s="198">
        <f aca="true" t="shared" si="2" ref="V6:V14">U6/C6*1000</f>
        <v>2406.1767876042404</v>
      </c>
      <c r="W6" s="200">
        <f aca="true" t="shared" si="3" ref="W6:W13">D6+R6</f>
        <v>10647.715708827895</v>
      </c>
      <c r="X6" s="198">
        <f aca="true" t="shared" si="4" ref="X6:X14">W6/C6*1000</f>
        <v>2359.343166148437</v>
      </c>
      <c r="Z6" s="201">
        <v>39.9327</v>
      </c>
    </row>
    <row r="7" spans="1:26" ht="39" customHeight="1">
      <c r="A7" s="20">
        <v>2</v>
      </c>
      <c r="B7" s="8" t="s">
        <v>12</v>
      </c>
      <c r="C7" s="108">
        <f>'Коэф.масшт.'!C6</f>
        <v>3083</v>
      </c>
      <c r="D7" s="152">
        <f>+'Налоговый потен'!L8</f>
        <v>2406.0980938273306</v>
      </c>
      <c r="E7" s="152">
        <v>2669.2</v>
      </c>
      <c r="F7" s="154">
        <f>'субв от числ уточ'!D7</f>
        <v>1176.797599090068</v>
      </c>
      <c r="G7" s="156">
        <f>+ИБР!R8</f>
        <v>1.1671505112675504</v>
      </c>
      <c r="H7" s="156">
        <f>БО!D7</f>
        <v>0.47745953729475676</v>
      </c>
      <c r="I7" s="156">
        <f>(E14/C14)*(H15-H7)*G7*C7</f>
        <v>1382.4076844015526</v>
      </c>
      <c r="J7" s="134">
        <f>I7*0.1</f>
        <v>138.24076844015528</v>
      </c>
      <c r="K7" s="195">
        <f>БО!G7</f>
        <v>0.48939049877827323</v>
      </c>
      <c r="L7" s="195">
        <f>E7+F7+J7</f>
        <v>3984.2383675302226</v>
      </c>
      <c r="M7" s="195">
        <f>(L14/C14)*(1-K7)*G7*C7</f>
        <v>4208.871592195727</v>
      </c>
      <c r="N7" s="196">
        <f>(2752.5-J14)*M7/M14</f>
        <v>672.4547239171039</v>
      </c>
      <c r="O7" s="197">
        <f>J7+N7</f>
        <v>810.6954923572592</v>
      </c>
      <c r="P7" s="109">
        <v>241.34851528354503</v>
      </c>
      <c r="Q7" s="14">
        <f>O7-P7</f>
        <v>569.3469770737142</v>
      </c>
      <c r="R7" s="134">
        <f>F7+O7</f>
        <v>1987.493091447327</v>
      </c>
      <c r="S7" s="198">
        <v>2752.61</v>
      </c>
      <c r="T7" s="199">
        <f t="shared" si="0"/>
        <v>-765.1169085526731</v>
      </c>
      <c r="U7" s="199">
        <f t="shared" si="1"/>
        <v>4656.693091447327</v>
      </c>
      <c r="V7" s="198">
        <f t="shared" si="2"/>
        <v>1510.4421315106479</v>
      </c>
      <c r="W7" s="200">
        <f t="shared" si="3"/>
        <v>4393.591185274658</v>
      </c>
      <c r="X7" s="198">
        <f t="shared" si="4"/>
        <v>1425.1025576628795</v>
      </c>
      <c r="Z7" s="201">
        <v>791.96057</v>
      </c>
    </row>
    <row r="8" spans="1:26" ht="37.5" customHeight="1">
      <c r="A8" s="20">
        <v>3</v>
      </c>
      <c r="B8" s="8" t="s">
        <v>13</v>
      </c>
      <c r="C8" s="108">
        <f>'Коэф.масшт.'!C7</f>
        <v>1572</v>
      </c>
      <c r="D8" s="152">
        <f>+'Налоговый потен'!L9</f>
        <v>4422.357516240549</v>
      </c>
      <c r="E8" s="152">
        <v>5393.9</v>
      </c>
      <c r="F8" s="154">
        <f>'субв от числ уточ'!D8</f>
        <v>600.0408127698951</v>
      </c>
      <c r="G8" s="156">
        <f>+ИБР!R9</f>
        <v>2.6408061944177765</v>
      </c>
      <c r="H8" s="156">
        <f>БО!D8</f>
        <v>0.5801294053465156</v>
      </c>
      <c r="I8" s="156">
        <f>(E14/C14)*(H15-H8)*G8*C8</f>
        <v>792.9909080229315</v>
      </c>
      <c r="J8" s="134">
        <f>I8*0.1</f>
        <v>79.29909080229316</v>
      </c>
      <c r="K8" s="195">
        <f>БО!G8</f>
        <v>0.5815752975506271</v>
      </c>
      <c r="L8" s="195">
        <f>E8+F8+J8</f>
        <v>6073.239903572187</v>
      </c>
      <c r="M8" s="195">
        <f>(L14/C14)*(1-K8)*G8*C8</f>
        <v>3979.0810259000036</v>
      </c>
      <c r="N8" s="196">
        <f>(2752.5-J14)*M8/M14</f>
        <v>635.7409044449987</v>
      </c>
      <c r="O8" s="197">
        <f>J8+N8</f>
        <v>715.0399952472919</v>
      </c>
      <c r="P8" s="109">
        <v>941.1911940223606</v>
      </c>
      <c r="Q8" s="14">
        <f>O8-P8</f>
        <v>-226.15119877506868</v>
      </c>
      <c r="R8" s="134">
        <f>F8+O8</f>
        <v>1315.0808080171869</v>
      </c>
      <c r="S8" s="198">
        <v>1495.48</v>
      </c>
      <c r="T8" s="199">
        <f t="shared" si="0"/>
        <v>-180.39919198281314</v>
      </c>
      <c r="U8" s="199">
        <f t="shared" si="1"/>
        <v>6708.980808017186</v>
      </c>
      <c r="V8" s="198">
        <f t="shared" si="2"/>
        <v>4267.799496194139</v>
      </c>
      <c r="W8" s="200">
        <f t="shared" si="3"/>
        <v>5737.438324257735</v>
      </c>
      <c r="X8" s="198">
        <f t="shared" si="4"/>
        <v>3649.769926372605</v>
      </c>
      <c r="Z8" s="201">
        <v>749.66749</v>
      </c>
    </row>
    <row r="9" spans="1:26" ht="30" customHeight="1">
      <c r="A9" s="20">
        <v>4</v>
      </c>
      <c r="B9" s="8" t="s">
        <v>14</v>
      </c>
      <c r="C9" s="108">
        <f>'Коэф.масшт.'!C8</f>
        <v>2261</v>
      </c>
      <c r="D9" s="152">
        <f>+'Налоговый потен'!L10</f>
        <v>4160.582023336344</v>
      </c>
      <c r="E9" s="152">
        <v>4908.8</v>
      </c>
      <c r="F9" s="154">
        <f>'субв от числ уточ'!D9</f>
        <v>863.0358000462677</v>
      </c>
      <c r="G9" s="156">
        <f>+ИБР!R10</f>
        <v>1.612989914422426</v>
      </c>
      <c r="H9" s="156">
        <f>БО!D9</f>
        <v>0.6605218302361645</v>
      </c>
      <c r="I9" s="156">
        <f>(E14/C14)*(H15-H9)*G9*C9</f>
        <v>145.04602886517296</v>
      </c>
      <c r="J9" s="134">
        <v>0</v>
      </c>
      <c r="K9" s="195">
        <f>БО!G9</f>
        <v>0.6518755685005818</v>
      </c>
      <c r="L9" s="195">
        <f>E9+F9+J9</f>
        <v>5771.835800046268</v>
      </c>
      <c r="M9" s="195">
        <f>(L14/C14)*(1-K9)*G9*C9</f>
        <v>2908.3261790781366</v>
      </c>
      <c r="N9" s="196">
        <f>(2752.5-J14)*M9/M14</f>
        <v>464.6655605838037</v>
      </c>
      <c r="O9" s="197">
        <f>J9+N9</f>
        <v>464.6655605838037</v>
      </c>
      <c r="P9" s="109">
        <v>125.43453098840365</v>
      </c>
      <c r="Q9" s="14">
        <f>O9-P9</f>
        <v>339.23102959540006</v>
      </c>
      <c r="R9" s="134">
        <f>F9+O9</f>
        <v>1327.7013606300713</v>
      </c>
      <c r="S9" s="198">
        <v>592.26</v>
      </c>
      <c r="T9" s="199">
        <f t="shared" si="0"/>
        <v>735.4413606300714</v>
      </c>
      <c r="U9" s="199">
        <f t="shared" si="1"/>
        <v>6236.501360630072</v>
      </c>
      <c r="V9" s="198">
        <f t="shared" si="2"/>
        <v>2758.2933925829598</v>
      </c>
      <c r="W9" s="200">
        <f t="shared" si="3"/>
        <v>5488.283383966415</v>
      </c>
      <c r="X9" s="198">
        <f t="shared" si="4"/>
        <v>2427.3699177206613</v>
      </c>
      <c r="Z9" s="201">
        <v>434.83182</v>
      </c>
    </row>
    <row r="10" spans="1:26" ht="33.75" customHeight="1">
      <c r="A10" s="20">
        <v>5</v>
      </c>
      <c r="B10" s="8" t="s">
        <v>15</v>
      </c>
      <c r="C10" s="108">
        <f>'Коэф.масшт.'!C9</f>
        <v>1539</v>
      </c>
      <c r="D10" s="152">
        <f>+'Налоговый потен'!L11</f>
        <v>2188.522500225818</v>
      </c>
      <c r="E10" s="152">
        <v>2298</v>
      </c>
      <c r="F10" s="154">
        <f>'субв от числ уточ'!D10</f>
        <v>587.4445361659469</v>
      </c>
      <c r="G10" s="156">
        <f>+ИБР!R11</f>
        <v>1.9840610250868358</v>
      </c>
      <c r="H10" s="156">
        <f>БО!D10</f>
        <v>0.43593672399289146</v>
      </c>
      <c r="I10" s="156">
        <f>(E14/C14)*(H15-H10)*G10*C10</f>
        <v>1411.622069097895</v>
      </c>
      <c r="J10" s="134">
        <f>I10*0.1</f>
        <v>141.16220690978952</v>
      </c>
      <c r="K10" s="195">
        <f>БО!G10</f>
        <v>0.4521081659835649</v>
      </c>
      <c r="L10" s="195">
        <f>E10+F10+J10</f>
        <v>3026.606743075736</v>
      </c>
      <c r="M10" s="195">
        <f>(L14/C14)*(1-K10)*G10*C10</f>
        <v>3832.3473794723363</v>
      </c>
      <c r="N10" s="196">
        <f>(2752.5-J14)*M10/M14</f>
        <v>612.297154371742</v>
      </c>
      <c r="O10" s="197">
        <f>J10+N10</f>
        <v>753.4593612815315</v>
      </c>
      <c r="P10" s="109">
        <v>541.2806891713745</v>
      </c>
      <c r="Q10" s="14">
        <f>O10-P10</f>
        <v>212.17867211015698</v>
      </c>
      <c r="R10" s="134">
        <f>F10+O10</f>
        <v>1340.9038974474784</v>
      </c>
      <c r="S10" s="198">
        <v>1268.9</v>
      </c>
      <c r="T10" s="199">
        <f t="shared" si="0"/>
        <v>72.00389744747827</v>
      </c>
      <c r="U10" s="199">
        <f t="shared" si="1"/>
        <v>3638.9038974474784</v>
      </c>
      <c r="V10" s="198">
        <f t="shared" si="2"/>
        <v>2364.4599723505385</v>
      </c>
      <c r="W10" s="200">
        <f t="shared" si="3"/>
        <v>3529.4263976732964</v>
      </c>
      <c r="X10" s="198">
        <f t="shared" si="4"/>
        <v>2293.3244949144223</v>
      </c>
      <c r="Z10" s="201">
        <v>707.50741</v>
      </c>
    </row>
    <row r="11" spans="1:26" ht="12.75">
      <c r="A11" s="20"/>
      <c r="B11" s="8"/>
      <c r="C11" s="108"/>
      <c r="D11" s="152">
        <f>+'Налоговый потен'!L12</f>
        <v>0</v>
      </c>
      <c r="E11" s="152"/>
      <c r="F11" s="154"/>
      <c r="G11" s="156"/>
      <c r="H11" s="156"/>
      <c r="I11" s="156"/>
      <c r="J11" s="134"/>
      <c r="K11" s="195"/>
      <c r="L11" s="195"/>
      <c r="M11" s="195"/>
      <c r="N11" s="196"/>
      <c r="O11" s="197"/>
      <c r="P11" s="109"/>
      <c r="Q11" s="14"/>
      <c r="R11" s="134"/>
      <c r="S11" s="198">
        <v>911.81</v>
      </c>
      <c r="T11" s="199">
        <f t="shared" si="0"/>
        <v>-911.81</v>
      </c>
      <c r="U11" s="199">
        <f t="shared" si="1"/>
        <v>0</v>
      </c>
      <c r="V11" s="198" t="e">
        <f t="shared" si="2"/>
        <v>#DIV/0!</v>
      </c>
      <c r="W11" s="200">
        <f t="shared" si="3"/>
        <v>0</v>
      </c>
      <c r="X11" s="198" t="e">
        <f t="shared" si="4"/>
        <v>#DIV/0!</v>
      </c>
      <c r="Z11" s="201"/>
    </row>
    <row r="12" spans="1:26" ht="12.75">
      <c r="A12" s="20"/>
      <c r="B12" s="8"/>
      <c r="C12" s="108"/>
      <c r="D12" s="152">
        <f>+'Налоговый потен'!L13</f>
        <v>0</v>
      </c>
      <c r="E12" s="152"/>
      <c r="F12" s="154"/>
      <c r="G12" s="156"/>
      <c r="H12" s="156"/>
      <c r="I12" s="156"/>
      <c r="J12" s="134"/>
      <c r="K12" s="195"/>
      <c r="L12" s="195"/>
      <c r="M12" s="195"/>
      <c r="N12" s="196"/>
      <c r="O12" s="197"/>
      <c r="P12" s="109"/>
      <c r="Q12" s="14"/>
      <c r="R12" s="134"/>
      <c r="S12" s="198">
        <v>1584.47</v>
      </c>
      <c r="T12" s="199">
        <f t="shared" si="0"/>
        <v>-1584.47</v>
      </c>
      <c r="U12" s="199">
        <f t="shared" si="1"/>
        <v>0</v>
      </c>
      <c r="V12" s="198" t="e">
        <f t="shared" si="2"/>
        <v>#DIV/0!</v>
      </c>
      <c r="W12" s="200">
        <f t="shared" si="3"/>
        <v>0</v>
      </c>
      <c r="X12" s="198" t="e">
        <f t="shared" si="4"/>
        <v>#DIV/0!</v>
      </c>
      <c r="Z12" s="201"/>
    </row>
    <row r="13" spans="1:26" ht="36" customHeight="1">
      <c r="A13" s="20"/>
      <c r="B13" s="8"/>
      <c r="C13" s="108"/>
      <c r="D13" s="152">
        <f>+'Налоговый потен'!L14</f>
        <v>0</v>
      </c>
      <c r="E13" s="152"/>
      <c r="F13" s="154"/>
      <c r="G13" s="156"/>
      <c r="H13" s="156"/>
      <c r="I13" s="156"/>
      <c r="J13" s="134"/>
      <c r="K13" s="195"/>
      <c r="L13" s="195"/>
      <c r="M13" s="195"/>
      <c r="N13" s="196"/>
      <c r="O13" s="197"/>
      <c r="P13" s="109"/>
      <c r="Q13" s="14"/>
      <c r="R13" s="134"/>
      <c r="S13" s="198">
        <v>1199.66</v>
      </c>
      <c r="T13" s="199">
        <f t="shared" si="0"/>
        <v>-1199.66</v>
      </c>
      <c r="U13" s="199">
        <f t="shared" si="1"/>
        <v>0</v>
      </c>
      <c r="V13" s="198" t="e">
        <f t="shared" si="2"/>
        <v>#DIV/0!</v>
      </c>
      <c r="W13" s="200">
        <f t="shared" si="3"/>
        <v>0</v>
      </c>
      <c r="X13" s="198" t="e">
        <f t="shared" si="4"/>
        <v>#DIV/0!</v>
      </c>
      <c r="Z13" s="201"/>
    </row>
    <row r="14" spans="1:26" ht="12.75">
      <c r="A14" s="20"/>
      <c r="B14" s="23" t="s">
        <v>16</v>
      </c>
      <c r="C14" s="111">
        <f>SUM(C6:C13)</f>
        <v>12968</v>
      </c>
      <c r="D14" s="109">
        <f>SUM(D6:D13)</f>
        <v>22094</v>
      </c>
      <c r="E14" s="109">
        <f>SUM(E6:E13)</f>
        <v>24397.7</v>
      </c>
      <c r="F14" s="154">
        <f>SUM(F6:F13)</f>
        <v>4949.955000000001</v>
      </c>
      <c r="G14" s="156"/>
      <c r="H14" s="109"/>
      <c r="I14" s="109">
        <f>SUM(I6:I10)</f>
        <v>621.2709834329712</v>
      </c>
      <c r="J14" s="109">
        <f>+J8+J9+J10+J7</f>
        <v>358.702066152238</v>
      </c>
      <c r="K14" s="195"/>
      <c r="L14" s="109">
        <f>SUM(L6:L10)</f>
        <v>29706.357066152235</v>
      </c>
      <c r="M14" s="109">
        <f>SUM(M6:M10)</f>
        <v>14982.701084379147</v>
      </c>
      <c r="N14" s="202">
        <f>SUM(N6:N10)</f>
        <v>2393.7979338477617</v>
      </c>
      <c r="O14" s="197">
        <f>SUM(O6:O10)</f>
        <v>2752.5</v>
      </c>
      <c r="P14" s="109">
        <f>SUM(P6:P13)</f>
        <v>1849.2549294656837</v>
      </c>
      <c r="Q14" s="109">
        <f>SUM(Q6:Q13)</f>
        <v>903.2450705343164</v>
      </c>
      <c r="R14" s="109">
        <f>SUM(R6:R13)</f>
        <v>7702.455</v>
      </c>
      <c r="S14" s="112">
        <f>SUM(S6:S13)</f>
        <v>13810.38</v>
      </c>
      <c r="T14" s="199">
        <f t="shared" si="0"/>
        <v>-6107.924999999999</v>
      </c>
      <c r="U14" s="198">
        <f t="shared" si="1"/>
        <v>32100.155</v>
      </c>
      <c r="V14" s="198">
        <f t="shared" si="2"/>
        <v>2475.3358266502155</v>
      </c>
      <c r="W14" s="198">
        <f>SUM(W6:W13)</f>
        <v>29796.455</v>
      </c>
      <c r="X14" s="198">
        <f t="shared" si="4"/>
        <v>2297.6908544108574</v>
      </c>
      <c r="Z14" s="201">
        <f>SUM(Z6:Z13)</f>
        <v>2723.89999</v>
      </c>
    </row>
    <row r="15" spans="1:24" ht="25.5">
      <c r="A15" s="20"/>
      <c r="B15" s="8"/>
      <c r="C15" s="109"/>
      <c r="D15" s="109"/>
      <c r="E15" s="109"/>
      <c r="F15" s="154"/>
      <c r="G15" s="156" t="s">
        <v>169</v>
      </c>
      <c r="H15" s="156">
        <f>БО!D15</f>
        <v>0.681661477860463</v>
      </c>
      <c r="I15" s="156"/>
      <c r="J15" s="203" t="s">
        <v>170</v>
      </c>
      <c r="K15" s="133">
        <f>+БО!G15</f>
        <v>0.7237207661424583</v>
      </c>
      <c r="L15" s="133">
        <v>1</v>
      </c>
      <c r="M15" s="133"/>
      <c r="N15" s="133">
        <f>+N16-J14</f>
        <v>2393.797933847762</v>
      </c>
      <c r="O15" s="154"/>
      <c r="P15" s="109"/>
      <c r="Q15" s="14"/>
      <c r="R15" s="134"/>
      <c r="S15" s="194"/>
      <c r="T15" s="194"/>
      <c r="U15" s="198">
        <f>E14+F14+O14</f>
        <v>32100.155000000002</v>
      </c>
      <c r="V15" s="194"/>
      <c r="W15" s="36"/>
      <c r="X15" s="198"/>
    </row>
    <row r="16" spans="2:24" ht="21" customHeight="1">
      <c r="B16" s="19"/>
      <c r="C16" s="40"/>
      <c r="D16" s="40"/>
      <c r="H16" s="95"/>
      <c r="I16" s="40"/>
      <c r="J16" s="176"/>
      <c r="K16" s="204" t="s">
        <v>171</v>
      </c>
      <c r="L16" s="204"/>
      <c r="M16" s="204"/>
      <c r="N16" s="204">
        <v>2752.5</v>
      </c>
      <c r="O16" s="172"/>
      <c r="P16" s="178"/>
      <c r="Q16" s="143"/>
      <c r="R16" s="173"/>
      <c r="V16" s="116"/>
      <c r="W16" s="173"/>
      <c r="X16"/>
    </row>
    <row r="17" spans="2:9" ht="12.75" customHeight="1" hidden="1">
      <c r="B17" s="273"/>
      <c r="C17" s="273"/>
      <c r="D17" s="273"/>
      <c r="E17" s="273"/>
      <c r="I17" s="22">
        <f>+(E14/C14)*G6*H15*C6</f>
        <v>6487.245238291547</v>
      </c>
    </row>
    <row r="18" ht="12.75" hidden="1">
      <c r="I18" s="22">
        <f>+(E14/C14)*G7*H15*C7</f>
        <v>4614.716503399765</v>
      </c>
    </row>
    <row r="19" ht="12.75" hidden="1"/>
  </sheetData>
  <sheetProtection selectLockedCells="1" selectUnlockedCells="1"/>
  <mergeCells count="2">
    <mergeCell ref="A2:R2"/>
    <mergeCell ref="B17:E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625" style="51" customWidth="1"/>
    <col min="2" max="2" width="26.625" style="51" customWidth="1"/>
    <col min="3" max="3" width="13.75390625" style="205" customWidth="1"/>
    <col min="4" max="4" width="14.875" style="172" customWidth="1"/>
    <col min="5" max="5" width="12.75390625" style="51" customWidth="1"/>
    <col min="6" max="6" width="12.375" style="51" customWidth="1"/>
    <col min="7" max="7" width="14.125" style="172" customWidth="1"/>
    <col min="8" max="8" width="13.00390625" style="172" customWidth="1"/>
    <col min="9" max="9" width="14.375" style="206" customWidth="1"/>
    <col min="10" max="10" width="13.625" style="51" customWidth="1"/>
    <col min="11" max="11" width="12.875" style="51" customWidth="1"/>
    <col min="12" max="12" width="11.375" style="51" customWidth="1"/>
    <col min="13" max="13" width="9.125" style="51" customWidth="1"/>
    <col min="14" max="14" width="12.375" style="51" hidden="1" customWidth="1"/>
    <col min="15" max="16384" width="9.125" style="51" customWidth="1"/>
  </cols>
  <sheetData>
    <row r="1" ht="12.75">
      <c r="I1" s="206" t="s">
        <v>172</v>
      </c>
    </row>
    <row r="2" spans="1:11" ht="59.25" customHeight="1">
      <c r="A2" s="274" t="s">
        <v>206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0" t="s">
        <v>2</v>
      </c>
      <c r="B3" s="270" t="s">
        <v>3</v>
      </c>
      <c r="C3" s="275" t="s">
        <v>173</v>
      </c>
      <c r="D3" s="275"/>
      <c r="E3" s="275"/>
      <c r="F3" s="275" t="s">
        <v>174</v>
      </c>
      <c r="G3" s="275"/>
      <c r="H3" s="207"/>
      <c r="I3" s="276" t="s">
        <v>175</v>
      </c>
      <c r="J3" s="276"/>
      <c r="K3" s="208"/>
    </row>
    <row r="4" spans="1:11" ht="54.75" customHeight="1">
      <c r="A4" s="270"/>
      <c r="B4" s="270"/>
      <c r="C4" s="209" t="s">
        <v>176</v>
      </c>
      <c r="D4" s="209" t="s">
        <v>177</v>
      </c>
      <c r="E4" s="17" t="s">
        <v>178</v>
      </c>
      <c r="F4" s="209" t="s">
        <v>176</v>
      </c>
      <c r="G4" s="209" t="s">
        <v>177</v>
      </c>
      <c r="H4" s="17" t="s">
        <v>178</v>
      </c>
      <c r="I4" s="209" t="s">
        <v>195</v>
      </c>
      <c r="J4" s="210" t="s">
        <v>177</v>
      </c>
      <c r="K4" s="17" t="s">
        <v>178</v>
      </c>
    </row>
    <row r="5" spans="1:14" ht="25.5">
      <c r="A5" s="208">
        <v>1</v>
      </c>
      <c r="B5" s="8" t="s">
        <v>11</v>
      </c>
      <c r="C5" s="211">
        <v>1690.561</v>
      </c>
      <c r="D5" s="211">
        <f>'субв от числ уточ'!D6</f>
        <v>1722.6362519278225</v>
      </c>
      <c r="E5" s="211">
        <f>D5-C5</f>
        <v>32.07525192782259</v>
      </c>
      <c r="F5" s="211">
        <v>39.9</v>
      </c>
      <c r="G5" s="211">
        <f>'Дотац 4000'!O6</f>
        <v>8.63959053011374</v>
      </c>
      <c r="H5" s="211">
        <f>+G5-F5</f>
        <v>-31.26040946988626</v>
      </c>
      <c r="I5" s="211">
        <f aca="true" t="shared" si="0" ref="I5:J9">C5+F5</f>
        <v>1730.461</v>
      </c>
      <c r="J5" s="211">
        <f t="shared" si="0"/>
        <v>1731.2758424579363</v>
      </c>
      <c r="K5" s="211">
        <f>J5-I5</f>
        <v>0.8148424579362654</v>
      </c>
      <c r="N5" s="74">
        <v>325.81391</v>
      </c>
    </row>
    <row r="6" spans="1:14" ht="25.5">
      <c r="A6" s="208">
        <v>2</v>
      </c>
      <c r="B6" s="8" t="s">
        <v>12</v>
      </c>
      <c r="C6" s="211">
        <v>1176.313</v>
      </c>
      <c r="D6" s="211">
        <f>'субв от числ уточ'!D7</f>
        <v>1176.797599090068</v>
      </c>
      <c r="E6" s="211">
        <f>D6-C6</f>
        <v>0.48459909006783164</v>
      </c>
      <c r="F6" s="211">
        <v>792</v>
      </c>
      <c r="G6" s="211">
        <f>'Дотац 4000'!O7-0.00001</f>
        <v>810.6954823572593</v>
      </c>
      <c r="H6" s="211">
        <f>+G6-F6</f>
        <v>18.695482357259266</v>
      </c>
      <c r="I6" s="211">
        <f t="shared" si="0"/>
        <v>1968.313</v>
      </c>
      <c r="J6" s="211">
        <f t="shared" si="0"/>
        <v>1987.4930814473273</v>
      </c>
      <c r="K6" s="211">
        <f>J6-I6</f>
        <v>19.18008144732721</v>
      </c>
      <c r="L6" s="74"/>
      <c r="N6" s="74">
        <v>385.45358</v>
      </c>
    </row>
    <row r="7" spans="1:14" ht="25.5">
      <c r="A7" s="208">
        <v>3</v>
      </c>
      <c r="B7" s="8" t="s">
        <v>13</v>
      </c>
      <c r="C7" s="211">
        <v>599.711</v>
      </c>
      <c r="D7" s="211">
        <f>'субв от числ уточ'!D8</f>
        <v>600.0408127698951</v>
      </c>
      <c r="E7" s="211">
        <f>D7-C7</f>
        <v>0.3298127698950566</v>
      </c>
      <c r="F7" s="211">
        <v>649.66749</v>
      </c>
      <c r="G7" s="211">
        <f>'Дотац 4000'!O8</f>
        <v>715.0399952472919</v>
      </c>
      <c r="H7" s="211">
        <f>+G7-F7</f>
        <v>65.37250524729188</v>
      </c>
      <c r="I7" s="211">
        <f t="shared" si="0"/>
        <v>1249.37849</v>
      </c>
      <c r="J7" s="211">
        <f t="shared" si="0"/>
        <v>1315.0808080171869</v>
      </c>
      <c r="K7" s="211">
        <f>J7-I7</f>
        <v>65.70231801718683</v>
      </c>
      <c r="N7" s="74">
        <v>1150.84672</v>
      </c>
    </row>
    <row r="8" spans="1:14" ht="25.5">
      <c r="A8" s="208">
        <v>4</v>
      </c>
      <c r="B8" s="8" t="s">
        <v>14</v>
      </c>
      <c r="C8" s="211">
        <v>842.896</v>
      </c>
      <c r="D8" s="211">
        <f>'субв от числ уточ'!D9</f>
        <v>863.0358000462677</v>
      </c>
      <c r="E8" s="211">
        <f>D8-C8</f>
        <v>20.139800046267737</v>
      </c>
      <c r="F8" s="211">
        <v>334.83251</v>
      </c>
      <c r="G8" s="211">
        <f>'Дотац 4000'!O9</f>
        <v>464.6655605838037</v>
      </c>
      <c r="H8" s="211">
        <f>+G8-F8</f>
        <v>129.8330505838037</v>
      </c>
      <c r="I8" s="211">
        <f t="shared" si="0"/>
        <v>1177.72851</v>
      </c>
      <c r="J8" s="211">
        <f t="shared" si="0"/>
        <v>1327.7013606300713</v>
      </c>
      <c r="K8" s="211">
        <f>J8-I8</f>
        <v>149.97285063007143</v>
      </c>
      <c r="N8" s="74">
        <v>969.6078</v>
      </c>
    </row>
    <row r="9" spans="1:14" ht="25.5">
      <c r="A9" s="208">
        <v>5</v>
      </c>
      <c r="B9" s="8" t="s">
        <v>15</v>
      </c>
      <c r="C9" s="211">
        <v>589.074</v>
      </c>
      <c r="D9" s="211">
        <f>'субв от числ уточ'!D10</f>
        <v>587.4445361659469</v>
      </c>
      <c r="E9" s="211">
        <f>D9-C9</f>
        <v>-1.6294638340530128</v>
      </c>
      <c r="F9" s="211">
        <v>907.5</v>
      </c>
      <c r="G9" s="211">
        <f>'Дотац 4000'!O10</f>
        <v>753.4593612815315</v>
      </c>
      <c r="H9" s="211">
        <f>+G9-F9</f>
        <v>-154.04063871846847</v>
      </c>
      <c r="I9" s="211">
        <f t="shared" si="0"/>
        <v>1496.574</v>
      </c>
      <c r="J9" s="211">
        <f t="shared" si="0"/>
        <v>1340.9038974474784</v>
      </c>
      <c r="K9" s="211">
        <f>J9-I9</f>
        <v>-155.6701025525217</v>
      </c>
      <c r="N9" s="74">
        <v>742.22817</v>
      </c>
    </row>
    <row r="10" spans="1:14" ht="12.75">
      <c r="A10" s="208"/>
      <c r="B10" s="16"/>
      <c r="C10" s="212"/>
      <c r="D10" s="211"/>
      <c r="E10" s="211"/>
      <c r="F10" s="211"/>
      <c r="G10" s="211"/>
      <c r="H10" s="211"/>
      <c r="I10" s="211"/>
      <c r="J10" s="211"/>
      <c r="K10" s="211"/>
      <c r="N10" s="74">
        <v>308.75746</v>
      </c>
    </row>
    <row r="11" spans="1:14" ht="12.75">
      <c r="A11" s="208"/>
      <c r="B11" s="16"/>
      <c r="C11" s="212"/>
      <c r="D11" s="211"/>
      <c r="E11" s="211"/>
      <c r="F11" s="211"/>
      <c r="G11" s="211"/>
      <c r="H11" s="211"/>
      <c r="I11" s="211"/>
      <c r="J11" s="211"/>
      <c r="K11" s="211"/>
      <c r="N11" s="74">
        <v>750.51896</v>
      </c>
    </row>
    <row r="12" spans="1:14" ht="12.75">
      <c r="A12" s="208"/>
      <c r="B12" s="16"/>
      <c r="C12" s="212"/>
      <c r="D12" s="211"/>
      <c r="E12" s="211"/>
      <c r="F12" s="211"/>
      <c r="G12" s="211"/>
      <c r="H12" s="211"/>
      <c r="I12" s="211"/>
      <c r="J12" s="211"/>
      <c r="K12" s="211"/>
      <c r="N12" s="74">
        <v>77.3734</v>
      </c>
    </row>
    <row r="13" spans="1:14" ht="12.75">
      <c r="A13" s="208"/>
      <c r="B13" s="17" t="s">
        <v>16</v>
      </c>
      <c r="C13" s="213">
        <f>SUM(C5:C12)</f>
        <v>4898.554999999999</v>
      </c>
      <c r="D13" s="213">
        <f>SUM(D5:D12)</f>
        <v>4949.955000000001</v>
      </c>
      <c r="E13" s="213">
        <f>SUM(E5:E12)</f>
        <v>51.400000000000205</v>
      </c>
      <c r="F13" s="213">
        <f>SUM(F5:F12)</f>
        <v>2723.8999999999996</v>
      </c>
      <c r="G13" s="213">
        <f>SUM(G5:G12)+0.00001</f>
        <v>2752.5000000000005</v>
      </c>
      <c r="H13" s="213">
        <f>+G13-F13</f>
        <v>28.60000000000082</v>
      </c>
      <c r="I13" s="213">
        <f>SUM(I5:I12)</f>
        <v>7622.455</v>
      </c>
      <c r="J13" s="213">
        <f>SUM(J5:J12)</f>
        <v>7702.45499</v>
      </c>
      <c r="K13" s="213">
        <f>J13-I13</f>
        <v>79.99999000000025</v>
      </c>
      <c r="N13" s="74">
        <f>SUM(N5:N12)</f>
        <v>4710.6</v>
      </c>
    </row>
    <row r="14" spans="2:11" ht="12.75">
      <c r="B14" s="214"/>
      <c r="C14" s="215"/>
      <c r="D14" s="216"/>
      <c r="E14" s="217"/>
      <c r="F14" s="217"/>
      <c r="G14" s="216"/>
      <c r="H14" s="216"/>
      <c r="I14" s="217"/>
      <c r="J14" s="217"/>
      <c r="K14" s="217"/>
    </row>
    <row r="15" spans="2:11" ht="12.75" hidden="1">
      <c r="B15" s="214"/>
      <c r="C15" s="215" t="s">
        <v>105</v>
      </c>
      <c r="D15" s="218">
        <v>11126.11</v>
      </c>
      <c r="E15" s="217"/>
      <c r="F15" s="217"/>
      <c r="G15" s="218">
        <v>4500</v>
      </c>
      <c r="H15" s="218"/>
      <c r="I15" s="217"/>
      <c r="J15" s="217"/>
      <c r="K15" s="217"/>
    </row>
    <row r="16" spans="2:9" ht="24.75" customHeight="1" hidden="1">
      <c r="B16" s="172"/>
      <c r="C16" s="172" t="s">
        <v>106</v>
      </c>
      <c r="D16" s="218">
        <f>11649-3.245</f>
        <v>11645.755</v>
      </c>
      <c r="E16" s="88"/>
      <c r="F16" s="88"/>
      <c r="G16" s="218">
        <f>4500*D17/100</f>
        <v>4710.172513124532</v>
      </c>
      <c r="H16" s="218"/>
      <c r="I16" s="172"/>
    </row>
    <row r="17" ht="12.75" hidden="1">
      <c r="D17" s="172">
        <f>+D16/D15*100</f>
        <v>104.67050029165628</v>
      </c>
    </row>
    <row r="18" spans="3:8" ht="12.75" hidden="1">
      <c r="C18" s="172" t="s">
        <v>179</v>
      </c>
      <c r="D18" s="218">
        <f>12111-3.245</f>
        <v>12107.755</v>
      </c>
      <c r="E18" s="88"/>
      <c r="F18" s="88"/>
      <c r="G18" s="218">
        <f>+G16*D19/100</f>
        <v>11521.239040889484</v>
      </c>
      <c r="H18" s="218"/>
    </row>
    <row r="19" ht="12.75" hidden="1">
      <c r="D19" s="172">
        <f>+D18/D13*100</f>
        <v>244.60333477779085</v>
      </c>
    </row>
    <row r="20" spans="3:8" ht="12.75" hidden="1">
      <c r="C20" s="172" t="s">
        <v>180</v>
      </c>
      <c r="D20" s="218">
        <f>9894.7-3.245</f>
        <v>9891.455</v>
      </c>
      <c r="E20" s="88"/>
      <c r="F20" s="88"/>
      <c r="G20" s="218">
        <f>+G18*D21/100</f>
        <v>9412.299597836387</v>
      </c>
      <c r="H20" s="218"/>
    </row>
    <row r="21" ht="12.75" hidden="1">
      <c r="D21" s="172">
        <f>+D20/D18*100</f>
        <v>81.69520278532231</v>
      </c>
    </row>
  </sheetData>
  <sheetProtection selectLockedCells="1" selectUnlockedCells="1"/>
  <mergeCells count="6">
    <mergeCell ref="A2:K2"/>
    <mergeCell ref="A3:A4"/>
    <mergeCell ref="B3:B4"/>
    <mergeCell ref="C3:E3"/>
    <mergeCell ref="F3:G3"/>
    <mergeCell ref="I3:J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5.25390625" style="219" customWidth="1"/>
    <col min="2" max="2" width="31.875" style="219" customWidth="1"/>
    <col min="3" max="8" width="13.375" style="219" customWidth="1"/>
    <col min="9" max="16384" width="9.125" style="219" customWidth="1"/>
  </cols>
  <sheetData>
    <row r="1" spans="4:7" ht="15.75">
      <c r="D1" s="220"/>
      <c r="G1" s="220" t="s">
        <v>181</v>
      </c>
    </row>
    <row r="2" spans="1:8" ht="42.75" customHeight="1">
      <c r="A2" s="277" t="s">
        <v>207</v>
      </c>
      <c r="B2" s="277"/>
      <c r="C2" s="277"/>
      <c r="D2" s="277"/>
      <c r="E2" s="277"/>
      <c r="F2" s="277"/>
      <c r="G2" s="277"/>
      <c r="H2" s="277"/>
    </row>
    <row r="3" spans="1:8" ht="15.75">
      <c r="A3" s="221"/>
      <c r="B3" s="221"/>
      <c r="C3" s="222"/>
      <c r="D3" s="222"/>
      <c r="E3" s="222"/>
      <c r="F3" s="222"/>
      <c r="G3" s="222"/>
      <c r="H3" s="223" t="s">
        <v>182</v>
      </c>
    </row>
    <row r="4" spans="1:8" s="225" customFormat="1" ht="64.5" customHeight="1">
      <c r="A4" s="278" t="s">
        <v>183</v>
      </c>
      <c r="B4" s="278" t="s">
        <v>184</v>
      </c>
      <c r="C4" s="279" t="s">
        <v>185</v>
      </c>
      <c r="D4" s="279"/>
      <c r="E4" s="279"/>
      <c r="F4" s="279" t="s">
        <v>186</v>
      </c>
      <c r="G4" s="279"/>
      <c r="H4" s="279"/>
    </row>
    <row r="5" spans="1:8" s="225" customFormat="1" ht="21" customHeight="1">
      <c r="A5" s="278"/>
      <c r="B5" s="278"/>
      <c r="C5" s="224" t="s">
        <v>180</v>
      </c>
      <c r="D5" s="224" t="s">
        <v>187</v>
      </c>
      <c r="E5" s="224" t="s">
        <v>208</v>
      </c>
      <c r="F5" s="224" t="s">
        <v>180</v>
      </c>
      <c r="G5" s="224" t="s">
        <v>187</v>
      </c>
      <c r="H5" s="224" t="s">
        <v>208</v>
      </c>
    </row>
    <row r="6" spans="1:8" ht="15.75">
      <c r="A6" s="226">
        <v>1</v>
      </c>
      <c r="B6" s="8" t="s">
        <v>11</v>
      </c>
      <c r="C6" s="227">
        <f>+'субв от числ уточ'!D6</f>
        <v>1722.6362519278225</v>
      </c>
      <c r="D6" s="227">
        <f>+'субв от числ уточ'!E6</f>
        <v>1791.681532618754</v>
      </c>
      <c r="E6" s="227">
        <f>+'субв от числ уточ'!F6</f>
        <v>1791.681532618754</v>
      </c>
      <c r="F6" s="227">
        <f>+РФФПП!G5</f>
        <v>8.63959053011374</v>
      </c>
      <c r="G6" s="228">
        <f>+F6</f>
        <v>8.63959053011374</v>
      </c>
      <c r="H6" s="228">
        <f>+F6</f>
        <v>8.63959053011374</v>
      </c>
    </row>
    <row r="7" spans="1:8" ht="15.75">
      <c r="A7" s="226">
        <v>2</v>
      </c>
      <c r="B7" s="8" t="s">
        <v>12</v>
      </c>
      <c r="C7" s="227">
        <f>+'субв от числ уточ'!D7</f>
        <v>1176.797599090068</v>
      </c>
      <c r="D7" s="227">
        <f>+'субв от числ уточ'!E7</f>
        <v>1223.9650266039482</v>
      </c>
      <c r="E7" s="227">
        <f>+'субв от числ уточ'!F7</f>
        <v>1223.9650266039482</v>
      </c>
      <c r="F7" s="227">
        <f>+РФФПП!G6</f>
        <v>810.6954823572593</v>
      </c>
      <c r="G7" s="228">
        <f>+F7</f>
        <v>810.6954823572593</v>
      </c>
      <c r="H7" s="228">
        <f>+F7</f>
        <v>810.6954823572593</v>
      </c>
    </row>
    <row r="8" spans="1:8" ht="15.75">
      <c r="A8" s="226">
        <v>3</v>
      </c>
      <c r="B8" s="8" t="s">
        <v>13</v>
      </c>
      <c r="C8" s="227">
        <f>+'субв от числ уточ'!D8</f>
        <v>600.0408127698951</v>
      </c>
      <c r="D8" s="227">
        <f>+'субв от числ уточ'!E8</f>
        <v>624.0911520666256</v>
      </c>
      <c r="E8" s="227">
        <f>+'субв от числ уточ'!F8</f>
        <v>624.0911520666256</v>
      </c>
      <c r="F8" s="227">
        <f>+РФФПП!G7</f>
        <v>715.0399952472919</v>
      </c>
      <c r="G8" s="228">
        <f>+F8</f>
        <v>715.0399952472919</v>
      </c>
      <c r="H8" s="228">
        <f>+F8</f>
        <v>715.0399952472919</v>
      </c>
    </row>
    <row r="9" spans="1:8" ht="15.75">
      <c r="A9" s="226">
        <v>4</v>
      </c>
      <c r="B9" s="8" t="s">
        <v>14</v>
      </c>
      <c r="C9" s="227">
        <f>+'субв от числ уточ'!D9</f>
        <v>863.0358000462677</v>
      </c>
      <c r="D9" s="227">
        <f>+'субв от числ уточ'!E9</f>
        <v>897.6272867828502</v>
      </c>
      <c r="E9" s="227">
        <f>+'субв от числ уточ'!F9</f>
        <v>897.6272867828502</v>
      </c>
      <c r="F9" s="227">
        <f>+РФФПП!G8</f>
        <v>464.6655605838037</v>
      </c>
      <c r="G9" s="228">
        <f>+F9</f>
        <v>464.6655605838037</v>
      </c>
      <c r="H9" s="228">
        <f>+F9</f>
        <v>464.6655605838037</v>
      </c>
    </row>
    <row r="10" spans="1:8" ht="15.75">
      <c r="A10" s="226">
        <v>5</v>
      </c>
      <c r="B10" s="8" t="s">
        <v>15</v>
      </c>
      <c r="C10" s="227">
        <f>+'субв от числ уточ'!D10</f>
        <v>587.4445361659469</v>
      </c>
      <c r="D10" s="227">
        <f>+'субв от числ уточ'!E10</f>
        <v>610.9900019278224</v>
      </c>
      <c r="E10" s="227">
        <f>+'субв от числ уточ'!F10</f>
        <v>610.9900019278224</v>
      </c>
      <c r="F10" s="227">
        <f>+РФФПП!G9</f>
        <v>753.4593612815315</v>
      </c>
      <c r="G10" s="228">
        <f>+F10</f>
        <v>753.4593612815315</v>
      </c>
      <c r="H10" s="228">
        <f>+F10</f>
        <v>753.4593612815315</v>
      </c>
    </row>
    <row r="11" spans="1:8" ht="15.75">
      <c r="A11" s="226"/>
      <c r="B11" s="229"/>
      <c r="C11" s="227"/>
      <c r="D11" s="227"/>
      <c r="E11" s="227"/>
      <c r="F11" s="227"/>
      <c r="G11" s="228"/>
      <c r="H11" s="228"/>
    </row>
    <row r="12" spans="1:8" ht="15.75">
      <c r="A12" s="226"/>
      <c r="B12" s="229"/>
      <c r="C12" s="227"/>
      <c r="D12" s="227"/>
      <c r="E12" s="227"/>
      <c r="F12" s="227"/>
      <c r="G12" s="228"/>
      <c r="H12" s="228"/>
    </row>
    <row r="13" spans="1:8" ht="15.75">
      <c r="A13" s="226"/>
      <c r="B13" s="229"/>
      <c r="C13" s="227"/>
      <c r="D13" s="227"/>
      <c r="E13" s="227"/>
      <c r="F13" s="227"/>
      <c r="G13" s="228"/>
      <c r="H13" s="228"/>
    </row>
    <row r="14" spans="1:8" ht="15.75">
      <c r="A14" s="226"/>
      <c r="B14" s="230" t="s">
        <v>16</v>
      </c>
      <c r="C14" s="231">
        <f>SUM(C6:C13)</f>
        <v>4949.955000000001</v>
      </c>
      <c r="D14" s="231">
        <f>SUM(D6:D13)</f>
        <v>5148.3550000000005</v>
      </c>
      <c r="E14" s="231">
        <f>SUM(E6:E13)</f>
        <v>5148.3550000000005</v>
      </c>
      <c r="F14" s="231">
        <f>SUM(F6:F13)+0.00001</f>
        <v>2752.5000000000005</v>
      </c>
      <c r="G14" s="231">
        <f>SUM(G6:G13)+0.00001</f>
        <v>2752.5000000000005</v>
      </c>
      <c r="H14" s="231">
        <f>SUM(H6:H13)+0.00001</f>
        <v>2752.5000000000005</v>
      </c>
    </row>
    <row r="16" ht="24.75" customHeight="1"/>
  </sheetData>
  <sheetProtection selectLockedCells="1" selectUnlockedCells="1"/>
  <mergeCells count="5">
    <mergeCell ref="A2:H2"/>
    <mergeCell ref="A4:A5"/>
    <mergeCell ref="B4:B5"/>
    <mergeCell ref="C4:E4"/>
    <mergeCell ref="F4:H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1" sqref="R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  <col min="5" max="5" width="14.375" style="0" customWidth="1"/>
    <col min="6" max="6" width="13.25390625" style="0" customWidth="1"/>
  </cols>
  <sheetData>
    <row r="1" ht="12.75">
      <c r="D1" t="s">
        <v>17</v>
      </c>
    </row>
    <row r="2" spans="1:4" ht="52.5" customHeight="1">
      <c r="A2" s="247" t="s">
        <v>18</v>
      </c>
      <c r="B2" s="247"/>
      <c r="C2" s="247"/>
      <c r="D2" s="247"/>
    </row>
    <row r="4" spans="1:6" ht="38.25">
      <c r="A4" s="8" t="s">
        <v>2</v>
      </c>
      <c r="B4" s="8" t="s">
        <v>3</v>
      </c>
      <c r="C4" s="8" t="s">
        <v>19</v>
      </c>
      <c r="D4" s="8" t="s">
        <v>20</v>
      </c>
      <c r="E4" s="19"/>
      <c r="F4" s="19"/>
    </row>
    <row r="5" spans="1:4" ht="12.75">
      <c r="A5" s="20">
        <v>1</v>
      </c>
      <c r="B5" s="8" t="s">
        <v>11</v>
      </c>
      <c r="C5" s="21">
        <v>4513</v>
      </c>
      <c r="D5" s="22">
        <f>(0.6*C5+0.4*C14)/C5</f>
        <v>0.8298781298471083</v>
      </c>
    </row>
    <row r="6" spans="1:4" ht="12.75">
      <c r="A6" s="20">
        <v>2</v>
      </c>
      <c r="B6" s="8" t="s">
        <v>12</v>
      </c>
      <c r="C6" s="21">
        <v>3083</v>
      </c>
      <c r="D6" s="22">
        <f>(0.6*C6+0.4*C14)/C6</f>
        <v>0.936503405773597</v>
      </c>
    </row>
    <row r="7" spans="1:4" ht="12.75">
      <c r="A7" s="20">
        <v>3</v>
      </c>
      <c r="B7" s="8" t="s">
        <v>13</v>
      </c>
      <c r="C7" s="21">
        <v>1572</v>
      </c>
      <c r="D7" s="22">
        <f>(0.6*C7+0.4*C14)/C7</f>
        <v>1.2599491094147581</v>
      </c>
    </row>
    <row r="8" spans="1:4" ht="12.75">
      <c r="A8" s="20">
        <v>4</v>
      </c>
      <c r="B8" s="8" t="s">
        <v>14</v>
      </c>
      <c r="C8" s="21">
        <v>2261</v>
      </c>
      <c r="D8" s="22">
        <f>(0.6*C8+0.4*C14)/C8</f>
        <v>1.0588412206988058</v>
      </c>
    </row>
    <row r="9" spans="1:4" ht="12.75">
      <c r="A9" s="20">
        <v>5</v>
      </c>
      <c r="B9" s="8" t="s">
        <v>15</v>
      </c>
      <c r="C9" s="21">
        <v>1539</v>
      </c>
      <c r="D9" s="22">
        <f>(0.6*C9+0.4*C14)/C9</f>
        <v>1.274100064977258</v>
      </c>
    </row>
    <row r="10" spans="1:4" ht="12.75">
      <c r="A10" s="20">
        <v>6</v>
      </c>
      <c r="B10" s="8"/>
      <c r="C10" s="21"/>
      <c r="D10" s="22"/>
    </row>
    <row r="11" spans="1:4" ht="12.75">
      <c r="A11" s="20">
        <v>7</v>
      </c>
      <c r="B11" s="8"/>
      <c r="C11" s="21"/>
      <c r="D11" s="22"/>
    </row>
    <row r="12" spans="1:4" ht="12.75">
      <c r="A12" s="20">
        <v>8</v>
      </c>
      <c r="B12" s="8"/>
      <c r="C12" s="21"/>
      <c r="D12" s="22"/>
    </row>
    <row r="13" spans="1:4" ht="12.75">
      <c r="A13" s="20"/>
      <c r="B13" s="23" t="s">
        <v>21</v>
      </c>
      <c r="C13" s="24">
        <f>SUM(C5:C12)</f>
        <v>12968</v>
      </c>
      <c r="D13" s="25">
        <f>(0.6*C13+0.4*C14)/C13</f>
        <v>0.6799999999999999</v>
      </c>
    </row>
    <row r="14" spans="1:4" ht="12.75">
      <c r="A14" s="20"/>
      <c r="B14" s="23" t="s">
        <v>22</v>
      </c>
      <c r="C14" s="26">
        <f>C13/5</f>
        <v>2593.6</v>
      </c>
      <c r="D14" s="20"/>
    </row>
    <row r="16" ht="20.25" customHeight="1"/>
  </sheetData>
  <sheetProtection selectLockedCells="1" selectUnlockedCells="1"/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93"/>
  <sheetViews>
    <sheetView tabSelected="1" zoomScaleSheetLayoutView="100" zoomScalePageLayoutView="0" workbookViewId="0" topLeftCell="A4">
      <selection activeCell="J34" sqref="J34"/>
    </sheetView>
  </sheetViews>
  <sheetFormatPr defaultColWidth="9.00390625" defaultRowHeight="12.75"/>
  <cols>
    <col min="1" max="1" width="6.25390625" style="0" customWidth="1"/>
    <col min="2" max="2" width="43.25390625" style="0" customWidth="1"/>
    <col min="3" max="3" width="18.00390625" style="0" customWidth="1"/>
    <col min="4" max="4" width="16.00390625" style="0" customWidth="1"/>
  </cols>
  <sheetData>
    <row r="1" ht="12.75">
      <c r="D1" t="s">
        <v>23</v>
      </c>
    </row>
    <row r="3" spans="1:4" ht="79.5" customHeight="1">
      <c r="A3" s="248" t="s">
        <v>24</v>
      </c>
      <c r="B3" s="248"/>
      <c r="C3" s="248"/>
      <c r="D3" s="248"/>
    </row>
    <row r="4" spans="1:4" ht="15">
      <c r="A4" s="249"/>
      <c r="B4" s="249"/>
      <c r="C4" s="249"/>
      <c r="D4" s="249"/>
    </row>
    <row r="5" spans="1:4" ht="38.25">
      <c r="A5" s="27" t="s">
        <v>25</v>
      </c>
      <c r="B5" s="27" t="s">
        <v>26</v>
      </c>
      <c r="C5" s="28" t="s">
        <v>27</v>
      </c>
      <c r="D5" s="28" t="s">
        <v>28</v>
      </c>
    </row>
    <row r="6" spans="1:4" ht="12.75">
      <c r="A6" s="27">
        <v>1</v>
      </c>
      <c r="B6" s="27" t="s">
        <v>29</v>
      </c>
      <c r="C6" s="27">
        <f>C7+C8+C9+C10+C11+C12+C13+C14+C15+C16</f>
        <v>4513</v>
      </c>
      <c r="D6" s="29">
        <f>(D7/C6)+1</f>
        <v>1.210059827165965</v>
      </c>
    </row>
    <row r="7" spans="1:5" ht="12.75">
      <c r="A7" s="20"/>
      <c r="B7" s="30" t="s">
        <v>30</v>
      </c>
      <c r="C7" s="20">
        <v>2942</v>
      </c>
      <c r="D7" s="20">
        <f>C8+C9+C11+C12+C13+C14+C15+C16</f>
        <v>948</v>
      </c>
      <c r="E7" t="s">
        <v>31</v>
      </c>
    </row>
    <row r="8" spans="1:4" ht="12.75">
      <c r="A8" s="20"/>
      <c r="B8" s="20" t="s">
        <v>32</v>
      </c>
      <c r="C8" s="20">
        <v>204</v>
      </c>
      <c r="D8" s="20"/>
    </row>
    <row r="9" spans="1:4" ht="12.75">
      <c r="A9" s="20"/>
      <c r="B9" s="20" t="s">
        <v>33</v>
      </c>
      <c r="C9" s="20">
        <v>480</v>
      </c>
      <c r="D9" s="20"/>
    </row>
    <row r="10" spans="1:4" ht="12.75">
      <c r="A10" s="20"/>
      <c r="B10" s="20" t="s">
        <v>34</v>
      </c>
      <c r="C10" s="20">
        <v>623</v>
      </c>
      <c r="D10" s="20"/>
    </row>
    <row r="11" spans="1:4" ht="12.75">
      <c r="A11" s="20"/>
      <c r="B11" s="20" t="s">
        <v>35</v>
      </c>
      <c r="C11" s="20">
        <v>121</v>
      </c>
      <c r="D11" s="20"/>
    </row>
    <row r="12" spans="1:4" ht="12.75">
      <c r="A12" s="20"/>
      <c r="B12" s="20" t="s">
        <v>36</v>
      </c>
      <c r="C12" s="20">
        <v>69</v>
      </c>
      <c r="D12" s="20"/>
    </row>
    <row r="13" spans="1:4" ht="12.75">
      <c r="A13" s="20"/>
      <c r="B13" s="20" t="s">
        <v>37</v>
      </c>
      <c r="C13" s="20">
        <v>18</v>
      </c>
      <c r="D13" s="20"/>
    </row>
    <row r="14" spans="1:4" ht="12.75">
      <c r="A14" s="20"/>
      <c r="B14" s="20" t="s">
        <v>38</v>
      </c>
      <c r="C14" s="20">
        <v>21</v>
      </c>
      <c r="D14" s="20"/>
    </row>
    <row r="15" spans="1:4" ht="12.75">
      <c r="A15" s="20"/>
      <c r="B15" s="20" t="s">
        <v>39</v>
      </c>
      <c r="C15" s="20">
        <v>34</v>
      </c>
      <c r="D15" s="20"/>
    </row>
    <row r="16" spans="1:4" ht="12.75">
      <c r="A16" s="20"/>
      <c r="B16" s="20" t="s">
        <v>40</v>
      </c>
      <c r="C16" s="20">
        <v>1</v>
      </c>
      <c r="D16" s="20"/>
    </row>
    <row r="17" spans="1:4" ht="12.75">
      <c r="A17" s="27">
        <v>2</v>
      </c>
      <c r="B17" s="27" t="s">
        <v>41</v>
      </c>
      <c r="C17" s="27">
        <f>C18+C19+C20</f>
        <v>3083</v>
      </c>
      <c r="D17" s="29">
        <f>(D18/C17)+1</f>
        <v>1.100227051573143</v>
      </c>
    </row>
    <row r="18" spans="1:4" ht="12.75">
      <c r="A18" s="27"/>
      <c r="B18" s="30" t="s">
        <v>42</v>
      </c>
      <c r="C18" s="20">
        <v>2264</v>
      </c>
      <c r="D18" s="20">
        <f>C20</f>
        <v>309</v>
      </c>
    </row>
    <row r="19" spans="1:4" ht="12.75">
      <c r="A19" s="27"/>
      <c r="B19" s="20" t="s">
        <v>43</v>
      </c>
      <c r="C19" s="20">
        <v>510</v>
      </c>
      <c r="D19" s="20"/>
    </row>
    <row r="20" spans="1:4" ht="12.75">
      <c r="A20" s="27"/>
      <c r="B20" s="20" t="s">
        <v>44</v>
      </c>
      <c r="C20" s="20">
        <v>309</v>
      </c>
      <c r="D20" s="20"/>
    </row>
    <row r="21" spans="1:4" ht="12.75">
      <c r="A21" s="27">
        <v>3</v>
      </c>
      <c r="B21" s="27" t="s">
        <v>45</v>
      </c>
      <c r="C21" s="27">
        <f>C22+C23+C24+C25+C26+C27+C28</f>
        <v>1572</v>
      </c>
      <c r="D21" s="29">
        <f>(D22/C21)+1</f>
        <v>2</v>
      </c>
    </row>
    <row r="22" spans="1:4" ht="12.75">
      <c r="A22" s="27"/>
      <c r="B22" s="31" t="s">
        <v>46</v>
      </c>
      <c r="C22" s="20">
        <v>449</v>
      </c>
      <c r="D22" s="20">
        <f>C22+C23+C24+C25+C26+C27+C28</f>
        <v>1572</v>
      </c>
    </row>
    <row r="23" spans="1:4" ht="12.75">
      <c r="A23" s="27"/>
      <c r="B23" s="20" t="s">
        <v>47</v>
      </c>
      <c r="C23" s="20">
        <v>382</v>
      </c>
      <c r="D23" s="20"/>
    </row>
    <row r="24" spans="1:4" ht="12.75">
      <c r="A24" s="27"/>
      <c r="B24" s="20" t="s">
        <v>48</v>
      </c>
      <c r="C24" s="20">
        <v>165</v>
      </c>
      <c r="D24" s="20"/>
    </row>
    <row r="25" spans="1:4" ht="12.75">
      <c r="A25" s="27"/>
      <c r="B25" s="32" t="s">
        <v>49</v>
      </c>
      <c r="C25" s="20">
        <v>136</v>
      </c>
      <c r="D25" s="20"/>
    </row>
    <row r="26" spans="1:4" ht="12.75">
      <c r="A26" s="27"/>
      <c r="B26" s="20" t="s">
        <v>50</v>
      </c>
      <c r="C26" s="20">
        <v>259</v>
      </c>
      <c r="D26" s="20"/>
    </row>
    <row r="27" spans="1:4" ht="12.75">
      <c r="A27" s="27"/>
      <c r="B27" s="20" t="s">
        <v>51</v>
      </c>
      <c r="C27" s="20">
        <v>180</v>
      </c>
      <c r="D27" s="20"/>
    </row>
    <row r="28" spans="1:4" ht="12.75">
      <c r="A28" s="27"/>
      <c r="B28" s="20" t="s">
        <v>52</v>
      </c>
      <c r="C28" s="20">
        <v>1</v>
      </c>
      <c r="D28" s="20"/>
    </row>
    <row r="29" spans="1:4" ht="12.75">
      <c r="A29" s="27">
        <v>4</v>
      </c>
      <c r="B29" s="27" t="s">
        <v>53</v>
      </c>
      <c r="C29" s="27">
        <f>SUM(C30:C33)</f>
        <v>2261</v>
      </c>
      <c r="D29" s="29">
        <f>(D30/C29)+1</f>
        <v>1.3936311366651923</v>
      </c>
    </row>
    <row r="30" spans="1:4" ht="12.75">
      <c r="A30" s="27"/>
      <c r="B30" s="30" t="s">
        <v>54</v>
      </c>
      <c r="C30" s="20">
        <v>695</v>
      </c>
      <c r="D30" s="20">
        <f>C32+C33</f>
        <v>890</v>
      </c>
    </row>
    <row r="31" spans="1:4" ht="12.75">
      <c r="A31" s="27"/>
      <c r="B31" s="20" t="s">
        <v>55</v>
      </c>
      <c r="C31" s="20">
        <v>676</v>
      </c>
      <c r="D31" s="20"/>
    </row>
    <row r="32" spans="1:4" ht="12.75">
      <c r="A32" s="27"/>
      <c r="B32" s="20" t="s">
        <v>56</v>
      </c>
      <c r="C32" s="20">
        <v>471</v>
      </c>
      <c r="D32" s="20"/>
    </row>
    <row r="33" spans="1:4" ht="12.75">
      <c r="A33" s="27"/>
      <c r="B33" s="20" t="s">
        <v>57</v>
      </c>
      <c r="C33" s="20">
        <v>419</v>
      </c>
      <c r="D33" s="20"/>
    </row>
    <row r="34" spans="1:4" ht="12.75">
      <c r="A34" s="27">
        <v>5</v>
      </c>
      <c r="B34" s="27" t="s">
        <v>58</v>
      </c>
      <c r="C34" s="27">
        <f>C35+C36+C37+C38</f>
        <v>1539</v>
      </c>
      <c r="D34" s="29">
        <f>(D35/C34)+1</f>
        <v>1.4294996751137101</v>
      </c>
    </row>
    <row r="35" spans="1:4" ht="12.75">
      <c r="A35" s="27"/>
      <c r="B35" s="30" t="s">
        <v>59</v>
      </c>
      <c r="C35" s="20">
        <v>878</v>
      </c>
      <c r="D35" s="20">
        <f>C36+C37+C38</f>
        <v>661</v>
      </c>
    </row>
    <row r="36" spans="1:4" ht="12.75">
      <c r="A36" s="27"/>
      <c r="B36" s="20" t="s">
        <v>60</v>
      </c>
      <c r="C36" s="20">
        <v>416</v>
      </c>
      <c r="D36" s="20"/>
    </row>
    <row r="37" spans="1:4" ht="12.75">
      <c r="A37" s="27"/>
      <c r="B37" s="20" t="s">
        <v>61</v>
      </c>
      <c r="C37" s="20">
        <v>238</v>
      </c>
      <c r="D37" s="20"/>
    </row>
    <row r="38" spans="1:4" ht="12.75">
      <c r="A38" s="27"/>
      <c r="B38" s="33" t="s">
        <v>62</v>
      </c>
      <c r="C38" s="20">
        <v>7</v>
      </c>
      <c r="D38" s="20"/>
    </row>
    <row r="39" spans="1:4" ht="15">
      <c r="A39" s="27"/>
      <c r="B39" s="34" t="s">
        <v>63</v>
      </c>
      <c r="C39" s="27">
        <f>C6+C17+C21+C29+C34</f>
        <v>12968</v>
      </c>
      <c r="D39" s="29">
        <f>D40/C39+1</f>
        <v>1.33775447254781</v>
      </c>
    </row>
    <row r="40" spans="1:4" ht="12.75">
      <c r="A40" s="20"/>
      <c r="B40" s="20"/>
      <c r="C40" s="20"/>
      <c r="D40" s="20">
        <f>D35+D30+D22+D18+D7</f>
        <v>4380</v>
      </c>
    </row>
    <row r="41" spans="1:4" ht="12.75">
      <c r="A41" s="20"/>
      <c r="B41" s="30"/>
      <c r="C41" s="20"/>
      <c r="D41" s="20"/>
    </row>
    <row r="42" spans="1:4" ht="12.75">
      <c r="A42" s="20"/>
      <c r="B42" s="20"/>
      <c r="C42" s="20"/>
      <c r="D42" s="20"/>
    </row>
    <row r="43" spans="1:4" ht="12.75" customHeight="1" hidden="1">
      <c r="A43" s="27">
        <v>3</v>
      </c>
      <c r="B43" s="20" t="s">
        <v>64</v>
      </c>
      <c r="C43" s="20">
        <v>125</v>
      </c>
      <c r="D43" s="20"/>
    </row>
    <row r="44" spans="1:4" ht="12.75" customHeight="1" hidden="1">
      <c r="A44" s="20"/>
      <c r="B44" s="27" t="s">
        <v>65</v>
      </c>
      <c r="C44" s="27">
        <f>C45+C46+C47+C48+C49+C50+C51</f>
        <v>3241</v>
      </c>
      <c r="D44" s="29">
        <f>D45/C44+1</f>
        <v>1.218759642085776</v>
      </c>
    </row>
    <row r="45" spans="1:4" ht="12.75" customHeight="1" hidden="1">
      <c r="A45" s="20"/>
      <c r="B45" s="20" t="s">
        <v>66</v>
      </c>
      <c r="C45" s="20">
        <v>615</v>
      </c>
      <c r="D45" s="20">
        <f>C46+C47+C51</f>
        <v>709</v>
      </c>
    </row>
    <row r="46" spans="1:4" ht="12.75" customHeight="1" hidden="1">
      <c r="A46" s="20"/>
      <c r="B46" s="20" t="s">
        <v>67</v>
      </c>
      <c r="C46" s="20">
        <v>110</v>
      </c>
      <c r="D46" s="20"/>
    </row>
    <row r="47" spans="1:4" ht="12.75" customHeight="1" hidden="1">
      <c r="A47" s="20"/>
      <c r="B47" s="20" t="s">
        <v>68</v>
      </c>
      <c r="C47" s="20">
        <v>202</v>
      </c>
      <c r="D47" s="20"/>
    </row>
    <row r="48" spans="1:4" ht="12.75" customHeight="1" hidden="1">
      <c r="A48" s="20"/>
      <c r="B48" s="20" t="s">
        <v>69</v>
      </c>
      <c r="C48" s="20">
        <v>530</v>
      </c>
      <c r="D48" s="20"/>
    </row>
    <row r="49" spans="1:4" ht="12.75" customHeight="1" hidden="1">
      <c r="A49" s="20"/>
      <c r="B49" s="20" t="s">
        <v>70</v>
      </c>
      <c r="C49" s="20">
        <v>794</v>
      </c>
      <c r="D49" s="20"/>
    </row>
    <row r="50" spans="1:4" ht="12.75" customHeight="1" hidden="1">
      <c r="A50" s="20"/>
      <c r="B50" s="35" t="s">
        <v>71</v>
      </c>
      <c r="C50" s="36">
        <v>593</v>
      </c>
      <c r="D50" s="20"/>
    </row>
    <row r="51" spans="1:4" ht="12.75" customHeight="1" hidden="1">
      <c r="A51" s="20"/>
      <c r="B51" s="36" t="s">
        <v>72</v>
      </c>
      <c r="C51" s="36">
        <v>397</v>
      </c>
      <c r="D51" s="20"/>
    </row>
    <row r="52" spans="1:4" ht="12.75" customHeight="1" hidden="1">
      <c r="A52" s="20"/>
      <c r="B52" s="28" t="s">
        <v>73</v>
      </c>
      <c r="C52" s="27">
        <f>C53+C54</f>
        <v>42</v>
      </c>
      <c r="D52" s="29">
        <f>(D53/C52)+1</f>
        <v>1</v>
      </c>
    </row>
    <row r="53" spans="1:4" ht="12.75" customHeight="1" hidden="1">
      <c r="A53" s="27">
        <v>4</v>
      </c>
      <c r="B53" s="33" t="s">
        <v>62</v>
      </c>
      <c r="C53" s="20">
        <v>4</v>
      </c>
      <c r="D53" s="20"/>
    </row>
    <row r="54" spans="1:4" ht="12.75" customHeight="1" hidden="1">
      <c r="A54" s="20"/>
      <c r="B54" s="8" t="s">
        <v>74</v>
      </c>
      <c r="C54" s="20">
        <v>38</v>
      </c>
      <c r="D54" s="20"/>
    </row>
    <row r="55" spans="1:4" ht="12.75" customHeight="1" hidden="1">
      <c r="A55" s="20"/>
      <c r="B55" s="28" t="s">
        <v>75</v>
      </c>
      <c r="C55" s="27">
        <f>C56+C57</f>
        <v>2299</v>
      </c>
      <c r="D55" s="27">
        <v>1</v>
      </c>
    </row>
    <row r="56" spans="1:4" ht="12.75" customHeight="1" hidden="1">
      <c r="A56" s="20"/>
      <c r="B56" s="37" t="s">
        <v>76</v>
      </c>
      <c r="C56" s="20">
        <v>1565</v>
      </c>
      <c r="D56" s="20"/>
    </row>
    <row r="57" spans="1:4" ht="12.75" customHeight="1" hidden="1">
      <c r="A57" s="20"/>
      <c r="B57" s="8" t="s">
        <v>77</v>
      </c>
      <c r="C57" s="20">
        <v>734</v>
      </c>
      <c r="D57" s="20"/>
    </row>
    <row r="58" spans="1:4" ht="12.75" customHeight="1" hidden="1">
      <c r="A58" s="20"/>
      <c r="B58" s="28" t="s">
        <v>78</v>
      </c>
      <c r="C58" s="27">
        <f>C59+C60+C61</f>
        <v>4661</v>
      </c>
      <c r="D58" s="29">
        <f>(D59/C58)+1</f>
        <v>1.0390474147178717</v>
      </c>
    </row>
    <row r="59" spans="1:4" ht="12.75" customHeight="1" hidden="1">
      <c r="A59" s="20"/>
      <c r="B59" s="37" t="s">
        <v>79</v>
      </c>
      <c r="C59" s="20">
        <v>3225</v>
      </c>
      <c r="D59" s="20">
        <f>C61</f>
        <v>182</v>
      </c>
    </row>
    <row r="60" spans="1:4" ht="12.75" customHeight="1" hidden="1">
      <c r="A60" s="27">
        <v>5</v>
      </c>
      <c r="B60" s="8" t="s">
        <v>80</v>
      </c>
      <c r="C60" s="20">
        <v>1254</v>
      </c>
      <c r="D60" s="20"/>
    </row>
    <row r="61" spans="1:4" ht="12.75" customHeight="1" hidden="1">
      <c r="A61" s="20"/>
      <c r="B61" s="8" t="s">
        <v>81</v>
      </c>
      <c r="C61" s="20">
        <v>182</v>
      </c>
      <c r="D61" s="20"/>
    </row>
    <row r="62" spans="1:4" ht="12.75" customHeight="1" hidden="1">
      <c r="A62" s="20"/>
      <c r="B62" s="34" t="s">
        <v>63</v>
      </c>
      <c r="C62" s="27">
        <f>C6+C17+C21+C29+C34</f>
        <v>12968</v>
      </c>
      <c r="D62" s="29">
        <f>D63/C62+1</f>
        <v>1.33775447254781</v>
      </c>
    </row>
    <row r="63" spans="1:4" ht="12.75" customHeight="1" hidden="1">
      <c r="A63" s="20"/>
      <c r="B63" s="19"/>
      <c r="D63" s="38">
        <f>D7+D18+D22+D30+D35</f>
        <v>4380</v>
      </c>
    </row>
    <row r="64" spans="1:4" ht="12.75" customHeight="1" hidden="1">
      <c r="A64" s="20"/>
      <c r="B64" s="20" t="s">
        <v>82</v>
      </c>
      <c r="C64" s="20">
        <v>540</v>
      </c>
      <c r="D64" s="20"/>
    </row>
    <row r="65" spans="1:4" ht="12.75" customHeight="1" hidden="1">
      <c r="A65" s="27">
        <v>6</v>
      </c>
      <c r="B65" s="27" t="s">
        <v>83</v>
      </c>
      <c r="C65" s="27">
        <f>C66+C67+C68+C69</f>
        <v>3000</v>
      </c>
      <c r="D65" s="29">
        <f>D66/C65+1</f>
        <v>1.0416666666666667</v>
      </c>
    </row>
    <row r="66" spans="1:4" ht="12.75" customHeight="1" hidden="1">
      <c r="A66" s="20"/>
      <c r="B66" s="20" t="s">
        <v>84</v>
      </c>
      <c r="C66" s="20">
        <v>900</v>
      </c>
      <c r="D66" s="20">
        <f>C69</f>
        <v>125</v>
      </c>
    </row>
    <row r="67" spans="1:4" ht="12.75" customHeight="1" hidden="1">
      <c r="A67" s="20"/>
      <c r="B67" s="30" t="s">
        <v>85</v>
      </c>
      <c r="C67" s="20">
        <v>980</v>
      </c>
      <c r="D67" s="20"/>
    </row>
    <row r="68" spans="1:4" ht="12.75" customHeight="1" hidden="1">
      <c r="A68" s="20"/>
      <c r="B68" s="20" t="s">
        <v>86</v>
      </c>
      <c r="C68" s="20">
        <v>995</v>
      </c>
      <c r="D68" s="20"/>
    </row>
    <row r="69" spans="1:4" ht="12.75" customHeight="1" hidden="1">
      <c r="A69" s="20"/>
      <c r="B69" s="20" t="s">
        <v>64</v>
      </c>
      <c r="C69" s="20">
        <v>125</v>
      </c>
      <c r="D69" s="20"/>
    </row>
    <row r="70" spans="1:4" ht="12.75" customHeight="1" hidden="1">
      <c r="A70" s="27">
        <v>7</v>
      </c>
      <c r="B70" s="27" t="s">
        <v>65</v>
      </c>
      <c r="C70" s="27">
        <f>C71+C72+C73+C74+C75+C76+C77</f>
        <v>3241</v>
      </c>
      <c r="D70" s="29">
        <f>D71/C70+1</f>
        <v>1.218759642085776</v>
      </c>
    </row>
    <row r="71" spans="1:4" ht="12.75" customHeight="1" hidden="1">
      <c r="A71" s="20"/>
      <c r="B71" s="20" t="s">
        <v>66</v>
      </c>
      <c r="C71" s="20">
        <v>615</v>
      </c>
      <c r="D71" s="20">
        <f>C72+C73+C77</f>
        <v>709</v>
      </c>
    </row>
    <row r="72" spans="1:4" ht="12.75" customHeight="1" hidden="1">
      <c r="A72" s="20"/>
      <c r="B72" s="20" t="s">
        <v>67</v>
      </c>
      <c r="C72" s="20">
        <v>110</v>
      </c>
      <c r="D72" s="20"/>
    </row>
    <row r="73" spans="1:4" ht="12.75" customHeight="1" hidden="1">
      <c r="A73" s="20"/>
      <c r="B73" s="20" t="s">
        <v>68</v>
      </c>
      <c r="C73" s="20">
        <v>202</v>
      </c>
      <c r="D73" s="20"/>
    </row>
    <row r="74" spans="1:4" ht="12.75" customHeight="1" hidden="1">
      <c r="A74" s="20"/>
      <c r="B74" s="20" t="s">
        <v>69</v>
      </c>
      <c r="C74" s="20">
        <v>530</v>
      </c>
      <c r="D74" s="20"/>
    </row>
    <row r="75" spans="1:4" ht="12.75" customHeight="1" hidden="1">
      <c r="A75" s="20"/>
      <c r="B75" s="20" t="s">
        <v>70</v>
      </c>
      <c r="C75" s="20">
        <v>794</v>
      </c>
      <c r="D75" s="20"/>
    </row>
    <row r="76" spans="1:4" ht="12.75" customHeight="1" hidden="1">
      <c r="A76" s="20"/>
      <c r="B76" s="35" t="s">
        <v>71</v>
      </c>
      <c r="C76" s="36">
        <v>593</v>
      </c>
      <c r="D76" s="20"/>
    </row>
    <row r="77" spans="1:4" ht="12.75" customHeight="1" hidden="1">
      <c r="A77" s="20"/>
      <c r="B77" s="36" t="s">
        <v>72</v>
      </c>
      <c r="C77" s="36">
        <v>397</v>
      </c>
      <c r="D77" s="20"/>
    </row>
    <row r="78" spans="1:4" ht="25.5" customHeight="1" hidden="1">
      <c r="A78" s="27">
        <v>8</v>
      </c>
      <c r="B78" s="28" t="s">
        <v>73</v>
      </c>
      <c r="C78" s="27">
        <f>C79+C80</f>
        <v>42</v>
      </c>
      <c r="D78" s="29">
        <f>(D79/C78)+1</f>
        <v>1</v>
      </c>
    </row>
    <row r="79" spans="1:4" ht="12.75" customHeight="1" hidden="1">
      <c r="A79" s="20"/>
      <c r="B79" s="33" t="s">
        <v>62</v>
      </c>
      <c r="C79" s="20">
        <v>4</v>
      </c>
      <c r="D79" s="20"/>
    </row>
    <row r="80" spans="1:4" ht="12.75" customHeight="1" hidden="1">
      <c r="A80" s="20"/>
      <c r="B80" s="8" t="s">
        <v>74</v>
      </c>
      <c r="C80" s="20">
        <v>38</v>
      </c>
      <c r="D80" s="20"/>
    </row>
    <row r="81" spans="1:4" ht="12.75" customHeight="1" hidden="1">
      <c r="A81" s="27">
        <v>9</v>
      </c>
      <c r="B81" s="28" t="s">
        <v>75</v>
      </c>
      <c r="C81" s="27">
        <f>C82+C83</f>
        <v>2299</v>
      </c>
      <c r="D81" s="27">
        <v>1</v>
      </c>
    </row>
    <row r="82" spans="1:4" ht="12.75" customHeight="1" hidden="1">
      <c r="A82" s="20"/>
      <c r="B82" s="37" t="s">
        <v>76</v>
      </c>
      <c r="C82" s="20">
        <v>1565</v>
      </c>
      <c r="D82" s="20"/>
    </row>
    <row r="83" spans="1:4" ht="12.75" customHeight="1" hidden="1">
      <c r="A83" s="20"/>
      <c r="B83" s="8" t="s">
        <v>77</v>
      </c>
      <c r="C83" s="20">
        <v>734</v>
      </c>
      <c r="D83" s="20"/>
    </row>
    <row r="84" spans="1:4" ht="12.75" customHeight="1" hidden="1">
      <c r="A84" s="27">
        <v>10</v>
      </c>
      <c r="B84" s="28" t="s">
        <v>78</v>
      </c>
      <c r="C84" s="27">
        <f>C85+C86+C87</f>
        <v>4661</v>
      </c>
      <c r="D84" s="29">
        <f>(D85/C84)+1</f>
        <v>1.0390474147178717</v>
      </c>
    </row>
    <row r="85" spans="1:4" ht="12.75" customHeight="1" hidden="1">
      <c r="A85" s="20"/>
      <c r="B85" s="37" t="s">
        <v>79</v>
      </c>
      <c r="C85" s="20">
        <v>3225</v>
      </c>
      <c r="D85" s="20">
        <f>C87</f>
        <v>182</v>
      </c>
    </row>
    <row r="86" spans="1:4" ht="12.75" customHeight="1" hidden="1">
      <c r="A86" s="20"/>
      <c r="B86" s="8" t="s">
        <v>80</v>
      </c>
      <c r="C86" s="20">
        <v>1254</v>
      </c>
      <c r="D86" s="20"/>
    </row>
    <row r="87" spans="1:4" ht="12.75" customHeight="1" hidden="1">
      <c r="A87" s="20"/>
      <c r="B87" s="8" t="s">
        <v>81</v>
      </c>
      <c r="C87" s="20">
        <v>182</v>
      </c>
      <c r="D87" s="20"/>
    </row>
    <row r="88" spans="1:4" ht="30" customHeight="1" hidden="1">
      <c r="A88" s="20"/>
      <c r="B88" s="34" t="s">
        <v>63</v>
      </c>
      <c r="C88" s="27">
        <f>C6+C17+C43+C53+C60</f>
        <v>8979</v>
      </c>
      <c r="D88" s="29">
        <f>D89/C88+1</f>
        <v>1.5935202984343562</v>
      </c>
    </row>
    <row r="89" spans="2:4" ht="12.75" customHeight="1" hidden="1">
      <c r="B89" s="19"/>
      <c r="D89" s="38">
        <f>D7+D40+D44+D54+D61</f>
        <v>5329.218759642085</v>
      </c>
    </row>
    <row r="90" spans="2:4" ht="38.25" customHeight="1" hidden="1">
      <c r="B90" s="39" t="s">
        <v>87</v>
      </c>
      <c r="D90" t="s">
        <v>88</v>
      </c>
    </row>
    <row r="91" ht="12.75" customHeight="1" hidden="1"/>
    <row r="92" ht="12.75" customHeight="1" hidden="1"/>
    <row r="93" ht="12.75" customHeight="1" hidden="1">
      <c r="B93" t="s">
        <v>89</v>
      </c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4" ht="15" customHeight="1"/>
  </sheetData>
  <sheetProtection selectLockedCells="1" selectUnlockedCells="1"/>
  <mergeCells count="2">
    <mergeCell ref="A3:D3"/>
    <mergeCell ref="A4:D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50"/>
  <sheetViews>
    <sheetView zoomScalePageLayoutView="0" workbookViewId="0" topLeftCell="A10">
      <selection activeCell="G7" sqref="G7"/>
    </sheetView>
  </sheetViews>
  <sheetFormatPr defaultColWidth="9.00390625" defaultRowHeight="12.75"/>
  <cols>
    <col min="1" max="1" width="29.25390625" style="0" customWidth="1"/>
    <col min="2" max="2" width="13.875" style="0" customWidth="1"/>
    <col min="3" max="3" width="15.375" style="0" customWidth="1"/>
    <col min="4" max="4" width="16.25390625" style="0" customWidth="1"/>
    <col min="5" max="5" width="16.125" style="0" customWidth="1"/>
    <col min="6" max="6" width="14.125" style="0" customWidth="1"/>
    <col min="7" max="7" width="15.125" style="0" customWidth="1"/>
    <col min="8" max="8" width="12.375" style="0" customWidth="1"/>
    <col min="9" max="9" width="12.75390625" style="0" customWidth="1"/>
    <col min="10" max="10" width="13.375" style="0" customWidth="1"/>
    <col min="11" max="11" width="12.375" style="0" customWidth="1"/>
    <col min="12" max="12" width="17.75390625" style="0" customWidth="1"/>
    <col min="13" max="13" width="13.25390625" style="0" customWidth="1"/>
    <col min="14" max="14" width="13.75390625" style="0" customWidth="1"/>
    <col min="15" max="15" width="13.375" style="0" customWidth="1"/>
    <col min="16" max="16" width="13.125" style="0" customWidth="1"/>
    <col min="17" max="19" width="11.875" style="0" customWidth="1"/>
    <col min="20" max="20" width="12.375" style="0" customWidth="1"/>
    <col min="21" max="21" width="11.875" style="0" customWidth="1"/>
  </cols>
  <sheetData>
    <row r="1" ht="12.75">
      <c r="F1" t="s">
        <v>90</v>
      </c>
    </row>
    <row r="2" spans="1:7" ht="36" customHeight="1">
      <c r="A2" s="250" t="s">
        <v>188</v>
      </c>
      <c r="B2" s="250"/>
      <c r="C2" s="250"/>
      <c r="D2" s="250"/>
      <c r="E2" s="250"/>
      <c r="F2" s="250"/>
      <c r="G2" s="250"/>
    </row>
    <row r="3" ht="12.75">
      <c r="G3" s="40"/>
    </row>
    <row r="4" spans="1:7" s="19" customFormat="1" ht="31.5">
      <c r="A4" s="41" t="s">
        <v>26</v>
      </c>
      <c r="B4" s="41" t="s">
        <v>91</v>
      </c>
      <c r="C4" s="41" t="s">
        <v>92</v>
      </c>
      <c r="D4" s="41" t="s">
        <v>93</v>
      </c>
      <c r="E4" s="41" t="s">
        <v>94</v>
      </c>
      <c r="F4" s="41" t="s">
        <v>95</v>
      </c>
      <c r="G4" s="42" t="s">
        <v>96</v>
      </c>
    </row>
    <row r="5" spans="1:7" ht="46.5" customHeight="1">
      <c r="A5" s="43" t="s">
        <v>97</v>
      </c>
      <c r="B5" s="44">
        <f aca="true" t="shared" si="0" ref="B5:D8">B40</f>
        <v>6562.69081</v>
      </c>
      <c r="C5" s="44">
        <f t="shared" si="0"/>
        <v>6706.06366</v>
      </c>
      <c r="D5" s="44">
        <f t="shared" si="0"/>
        <v>6377.265189999999</v>
      </c>
      <c r="E5" s="44">
        <f>SUM(B5:D5)</f>
        <v>19646.019659999998</v>
      </c>
      <c r="F5" s="44">
        <f>+E5/3</f>
        <v>6548.67322</v>
      </c>
      <c r="G5" s="45">
        <f>E5*100/E9</f>
        <v>14.09739068243493</v>
      </c>
    </row>
    <row r="6" spans="1:7" ht="28.5" customHeight="1">
      <c r="A6" s="46" t="s">
        <v>98</v>
      </c>
      <c r="B6" s="44">
        <f t="shared" si="0"/>
        <v>19173.4866</v>
      </c>
      <c r="C6" s="44">
        <f t="shared" si="0"/>
        <v>23842.703480000004</v>
      </c>
      <c r="D6" s="44">
        <f t="shared" si="0"/>
        <v>24620.923160000002</v>
      </c>
      <c r="E6" s="44">
        <f>SUM(B6:D6)</f>
        <v>67637.11324</v>
      </c>
      <c r="F6" s="44">
        <f>+E6/3</f>
        <v>22545.704413333337</v>
      </c>
      <c r="G6" s="45">
        <f>E6*100/E9</f>
        <v>48.53435079868858</v>
      </c>
    </row>
    <row r="7" spans="1:7" ht="25.5" customHeight="1">
      <c r="A7" s="46" t="s">
        <v>99</v>
      </c>
      <c r="B7" s="44">
        <f t="shared" si="0"/>
        <v>3059.23499</v>
      </c>
      <c r="C7" s="44">
        <f t="shared" si="0"/>
        <v>3866.01756</v>
      </c>
      <c r="D7" s="44">
        <f t="shared" si="0"/>
        <v>4854.72873</v>
      </c>
      <c r="E7" s="44">
        <f>SUM(B7:D7)</f>
        <v>11779.98128</v>
      </c>
      <c r="F7" s="44">
        <f>+E7/3</f>
        <v>3926.660426666667</v>
      </c>
      <c r="G7" s="45">
        <f>E7*100/E9</f>
        <v>8.452958981510555</v>
      </c>
    </row>
    <row r="8" spans="1:7" ht="26.25" customHeight="1">
      <c r="A8" s="46" t="s">
        <v>100</v>
      </c>
      <c r="B8" s="44">
        <f t="shared" si="0"/>
        <v>12933.86248</v>
      </c>
      <c r="C8" s="44">
        <f t="shared" si="0"/>
        <v>12519.97873</v>
      </c>
      <c r="D8" s="44">
        <f t="shared" si="0"/>
        <v>14842.30692</v>
      </c>
      <c r="E8" s="44">
        <f>SUM(B8:D8)</f>
        <v>40296.14813</v>
      </c>
      <c r="F8" s="44">
        <f>+E8/3</f>
        <v>13432.049376666668</v>
      </c>
      <c r="G8" s="45">
        <f>E8*100/E9</f>
        <v>28.915299537365925</v>
      </c>
    </row>
    <row r="9" spans="1:7" s="50" customFormat="1" ht="24.75" customHeight="1">
      <c r="A9" s="47" t="s">
        <v>101</v>
      </c>
      <c r="B9" s="48">
        <f>B5+B6+B7+B8</f>
        <v>41729.27488</v>
      </c>
      <c r="C9" s="48">
        <f>C5+C6+C7+C8</f>
        <v>46934.763430000006</v>
      </c>
      <c r="D9" s="48">
        <f>SUM(D5:D8)</f>
        <v>50695.224</v>
      </c>
      <c r="E9" s="48">
        <f>E5+E6+E7+E8</f>
        <v>139359.26231000002</v>
      </c>
      <c r="F9" s="48">
        <f>F5+F6+F7+F8</f>
        <v>46453.087436666676</v>
      </c>
      <c r="G9" s="49">
        <v>100</v>
      </c>
    </row>
    <row r="12" spans="1:21" s="51" customFormat="1" ht="15.75" customHeight="1">
      <c r="A12" s="251" t="s">
        <v>102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</row>
    <row r="13" spans="1:5" s="1" customFormat="1" ht="18.75">
      <c r="A13" s="252"/>
      <c r="B13" s="252"/>
      <c r="C13" s="252"/>
      <c r="D13" s="252"/>
      <c r="E13" s="252"/>
    </row>
    <row r="14" spans="1:21" s="51" customFormat="1" ht="24.75" customHeight="1">
      <c r="A14" s="253" t="s">
        <v>103</v>
      </c>
      <c r="B14" s="254" t="s">
        <v>11</v>
      </c>
      <c r="C14" s="254"/>
      <c r="D14" s="254"/>
      <c r="E14" s="254"/>
      <c r="F14" s="254"/>
      <c r="G14" s="255" t="s">
        <v>12</v>
      </c>
      <c r="H14" s="255"/>
      <c r="I14" s="255"/>
      <c r="J14" s="255"/>
      <c r="K14" s="255"/>
      <c r="L14" s="254" t="s">
        <v>13</v>
      </c>
      <c r="M14" s="254"/>
      <c r="N14" s="254"/>
      <c r="O14" s="254"/>
      <c r="P14" s="254"/>
      <c r="Q14" s="256"/>
      <c r="R14" s="256"/>
      <c r="S14" s="256"/>
      <c r="T14" s="256"/>
      <c r="U14" s="256"/>
    </row>
    <row r="15" spans="1:21" s="51" customFormat="1" ht="31.5">
      <c r="A15" s="253"/>
      <c r="B15" s="240" t="s">
        <v>104</v>
      </c>
      <c r="C15" s="240" t="s">
        <v>105</v>
      </c>
      <c r="D15" s="240" t="s">
        <v>106</v>
      </c>
      <c r="E15" s="52" t="s">
        <v>107</v>
      </c>
      <c r="F15" s="53" t="s">
        <v>108</v>
      </c>
      <c r="G15" s="240" t="s">
        <v>104</v>
      </c>
      <c r="H15" s="240" t="s">
        <v>105</v>
      </c>
      <c r="I15" s="240" t="s">
        <v>106</v>
      </c>
      <c r="J15" s="52" t="s">
        <v>107</v>
      </c>
      <c r="K15" s="54" t="s">
        <v>108</v>
      </c>
      <c r="L15" s="240" t="s">
        <v>104</v>
      </c>
      <c r="M15" s="240" t="s">
        <v>105</v>
      </c>
      <c r="N15" s="240" t="s">
        <v>106</v>
      </c>
      <c r="O15" s="52" t="s">
        <v>107</v>
      </c>
      <c r="P15" s="53" t="s">
        <v>108</v>
      </c>
      <c r="Q15" s="55"/>
      <c r="R15" s="55"/>
      <c r="S15" s="55"/>
      <c r="T15" s="56"/>
      <c r="U15" s="56"/>
    </row>
    <row r="16" spans="1:21" s="51" customFormat="1" ht="31.5">
      <c r="A16" s="57" t="s">
        <v>109</v>
      </c>
      <c r="B16" s="58"/>
      <c r="C16" s="58"/>
      <c r="D16" s="60"/>
      <c r="E16" s="60">
        <f>+B16+C16+D16</f>
        <v>0</v>
      </c>
      <c r="F16" s="233">
        <f aca="true" t="shared" si="1" ref="F16:F21">+E16/3</f>
        <v>0</v>
      </c>
      <c r="G16" s="60">
        <v>1675.92633</v>
      </c>
      <c r="H16" s="60">
        <v>1316.19942</v>
      </c>
      <c r="I16" s="60">
        <v>1337.20062</v>
      </c>
      <c r="J16" s="60">
        <f>+G16+H16+I16</f>
        <v>4329.326370000001</v>
      </c>
      <c r="K16" s="237">
        <f aca="true" t="shared" si="2" ref="K16:K21">+J16/3</f>
        <v>1443.1087900000002</v>
      </c>
      <c r="L16" s="60">
        <v>1919.83621</v>
      </c>
      <c r="M16" s="60">
        <v>2255.10952</v>
      </c>
      <c r="N16" s="60">
        <v>1920.2865</v>
      </c>
      <c r="O16" s="60">
        <f>+L16+M16+N16</f>
        <v>6095.23223</v>
      </c>
      <c r="P16" s="233">
        <f>+O16/3</f>
        <v>2031.7440766666666</v>
      </c>
      <c r="Q16" s="61"/>
      <c r="R16" s="61"/>
      <c r="S16" s="61"/>
      <c r="T16" s="61"/>
      <c r="U16" s="61"/>
    </row>
    <row r="17" spans="1:21" s="51" customFormat="1" ht="15.75">
      <c r="A17" s="57" t="s">
        <v>110</v>
      </c>
      <c r="B17" s="60">
        <v>9315.38685</v>
      </c>
      <c r="C17" s="60">
        <v>14390.52207</v>
      </c>
      <c r="D17" s="60">
        <v>14652.95687</v>
      </c>
      <c r="E17" s="60">
        <f>+B17+C17+D17</f>
        <v>38358.86579</v>
      </c>
      <c r="F17" s="233">
        <f t="shared" si="1"/>
        <v>12786.288596666667</v>
      </c>
      <c r="G17" s="60">
        <v>4076.28952</v>
      </c>
      <c r="H17" s="60">
        <v>2651.24138</v>
      </c>
      <c r="I17" s="60">
        <v>3543.67358</v>
      </c>
      <c r="J17" s="60">
        <f>+G17+H17+I17</f>
        <v>10271.20448</v>
      </c>
      <c r="K17" s="237">
        <f t="shared" si="2"/>
        <v>3423.734826666667</v>
      </c>
      <c r="L17" s="60">
        <v>3591.22788</v>
      </c>
      <c r="M17" s="60">
        <v>4020.78023</v>
      </c>
      <c r="N17" s="60">
        <v>3732.64202</v>
      </c>
      <c r="O17" s="60">
        <f>+L17+M17+N17</f>
        <v>11344.65013</v>
      </c>
      <c r="P17" s="233">
        <f>+O17/3</f>
        <v>3781.550043333333</v>
      </c>
      <c r="Q17" s="61"/>
      <c r="R17" s="61"/>
      <c r="S17" s="61"/>
      <c r="T17" s="61"/>
      <c r="U17" s="61"/>
    </row>
    <row r="18" spans="1:21" s="51" customFormat="1" ht="31.5">
      <c r="A18" s="57" t="s">
        <v>111</v>
      </c>
      <c r="B18" s="60">
        <v>593.7043</v>
      </c>
      <c r="C18" s="60">
        <v>771.42159</v>
      </c>
      <c r="D18" s="60">
        <v>2719.2369</v>
      </c>
      <c r="E18" s="60">
        <f>+B18+C18+D18</f>
        <v>4084.36279</v>
      </c>
      <c r="F18" s="233">
        <f t="shared" si="1"/>
        <v>1361.4542633333333</v>
      </c>
      <c r="G18" s="60">
        <v>556.87582</v>
      </c>
      <c r="H18" s="60">
        <v>1398.3566</v>
      </c>
      <c r="I18" s="60">
        <v>583.989</v>
      </c>
      <c r="J18" s="60">
        <f>+G18+H18+I18</f>
        <v>2539.22142</v>
      </c>
      <c r="K18" s="237">
        <f t="shared" si="2"/>
        <v>846.4071399999999</v>
      </c>
      <c r="L18" s="60">
        <v>307.73848</v>
      </c>
      <c r="M18" s="60">
        <v>364.26925</v>
      </c>
      <c r="N18" s="60">
        <v>368.72633</v>
      </c>
      <c r="O18" s="60">
        <f>+L18+M18+N18</f>
        <v>1040.73406</v>
      </c>
      <c r="P18" s="233">
        <f>+O18/3</f>
        <v>346.91135333333335</v>
      </c>
      <c r="Q18" s="61"/>
      <c r="R18" s="61"/>
      <c r="S18" s="61"/>
      <c r="T18" s="61"/>
      <c r="U18" s="61"/>
    </row>
    <row r="19" spans="1:21" s="51" customFormat="1" ht="24.75" customHeight="1">
      <c r="A19" s="57" t="s">
        <v>112</v>
      </c>
      <c r="B19" s="60">
        <v>2717.73517</v>
      </c>
      <c r="C19" s="60">
        <v>6939.38337</v>
      </c>
      <c r="D19" s="60">
        <v>9470.1096</v>
      </c>
      <c r="E19" s="60">
        <f>+B19+C19+D19</f>
        <v>19127.22814</v>
      </c>
      <c r="F19" s="233">
        <f t="shared" si="1"/>
        <v>6375.742713333333</v>
      </c>
      <c r="G19" s="60">
        <v>2549.66188</v>
      </c>
      <c r="H19" s="60">
        <v>530.85846</v>
      </c>
      <c r="I19" s="60">
        <v>735.27492</v>
      </c>
      <c r="J19" s="60">
        <f>+G19+H19+I19</f>
        <v>3815.79526</v>
      </c>
      <c r="K19" s="237">
        <f t="shared" si="2"/>
        <v>1271.9317533333333</v>
      </c>
      <c r="L19" s="60">
        <v>2482.17117</v>
      </c>
      <c r="M19" s="60">
        <v>925.55598</v>
      </c>
      <c r="N19" s="60">
        <v>1017.63624</v>
      </c>
      <c r="O19" s="60">
        <f>+L19+M19+N19</f>
        <v>4425.36339</v>
      </c>
      <c r="P19" s="233">
        <f>+O19/3</f>
        <v>1475.1211300000002</v>
      </c>
      <c r="Q19" s="61"/>
      <c r="R19" s="61"/>
      <c r="S19" s="61"/>
      <c r="T19" s="61"/>
      <c r="U19" s="61"/>
    </row>
    <row r="20" spans="1:21" s="66" customFormat="1" ht="15.75" hidden="1">
      <c r="A20" s="62"/>
      <c r="B20" s="232"/>
      <c r="C20" s="232"/>
      <c r="D20" s="63"/>
      <c r="E20" s="63"/>
      <c r="F20" s="64">
        <f t="shared" si="1"/>
        <v>0</v>
      </c>
      <c r="G20" s="232"/>
      <c r="H20" s="232"/>
      <c r="I20" s="232"/>
      <c r="J20" s="232"/>
      <c r="K20" s="238">
        <f t="shared" si="2"/>
        <v>0</v>
      </c>
      <c r="L20" s="63"/>
      <c r="M20" s="232"/>
      <c r="N20" s="232"/>
      <c r="O20" s="232"/>
      <c r="P20" s="234">
        <f>+O20/2</f>
        <v>0</v>
      </c>
      <c r="Q20" s="65"/>
      <c r="R20" s="65"/>
      <c r="S20" s="65"/>
      <c r="T20" s="65"/>
      <c r="U20" s="65"/>
    </row>
    <row r="21" spans="1:21" s="66" customFormat="1" ht="15.75" hidden="1">
      <c r="A21" s="62"/>
      <c r="B21" s="232"/>
      <c r="C21" s="232"/>
      <c r="D21" s="63"/>
      <c r="E21" s="63"/>
      <c r="F21" s="64">
        <f t="shared" si="1"/>
        <v>0</v>
      </c>
      <c r="G21" s="232"/>
      <c r="H21" s="232"/>
      <c r="I21" s="232"/>
      <c r="J21" s="232"/>
      <c r="K21" s="238">
        <f t="shared" si="2"/>
        <v>0</v>
      </c>
      <c r="L21" s="63"/>
      <c r="M21" s="232"/>
      <c r="N21" s="232"/>
      <c r="O21" s="232"/>
      <c r="P21" s="235">
        <f>+O21/3</f>
        <v>0</v>
      </c>
      <c r="Q21" s="65"/>
      <c r="R21" s="65"/>
      <c r="S21" s="65"/>
      <c r="T21" s="65"/>
      <c r="U21" s="65"/>
    </row>
    <row r="22" spans="1:21" s="51" customFormat="1" ht="15.75">
      <c r="A22" s="67" t="s">
        <v>113</v>
      </c>
      <c r="B22" s="70">
        <f aca="true" t="shared" si="3" ref="B22:P22">+B16+B17+B18+B19</f>
        <v>12626.82632</v>
      </c>
      <c r="C22" s="70">
        <f t="shared" si="3"/>
        <v>22101.32703</v>
      </c>
      <c r="D22" s="70">
        <f t="shared" si="3"/>
        <v>26842.303369999998</v>
      </c>
      <c r="E22" s="70">
        <f t="shared" si="3"/>
        <v>61570.45672</v>
      </c>
      <c r="F22" s="236">
        <f t="shared" si="3"/>
        <v>20523.48557333333</v>
      </c>
      <c r="G22" s="70">
        <f t="shared" si="3"/>
        <v>8858.75355</v>
      </c>
      <c r="H22" s="70">
        <f t="shared" si="3"/>
        <v>5896.65586</v>
      </c>
      <c r="I22" s="70">
        <f t="shared" si="3"/>
        <v>6200.13812</v>
      </c>
      <c r="J22" s="70">
        <f t="shared" si="3"/>
        <v>20955.54753</v>
      </c>
      <c r="K22" s="239">
        <f t="shared" si="3"/>
        <v>6985.182510000001</v>
      </c>
      <c r="L22" s="70">
        <f t="shared" si="3"/>
        <v>8300.97374</v>
      </c>
      <c r="M22" s="70">
        <f t="shared" si="3"/>
        <v>7565.714980000001</v>
      </c>
      <c r="N22" s="70">
        <f t="shared" si="3"/>
        <v>7039.29109</v>
      </c>
      <c r="O22" s="70">
        <f t="shared" si="3"/>
        <v>22905.979809999997</v>
      </c>
      <c r="P22" s="236">
        <f t="shared" si="3"/>
        <v>7635.326603333333</v>
      </c>
      <c r="Q22" s="72"/>
      <c r="R22" s="72"/>
      <c r="S22" s="72"/>
      <c r="T22" s="72"/>
      <c r="U22" s="72"/>
    </row>
    <row r="23" spans="1:21" s="74" customFormat="1" ht="15.75">
      <c r="A23" s="73"/>
      <c r="B23" s="68"/>
      <c r="C23" s="68"/>
      <c r="D23" s="68"/>
      <c r="E23" s="68">
        <f>+B23+C23+D23</f>
        <v>0</v>
      </c>
      <c r="F23" s="69">
        <f>+E23/3</f>
        <v>0</v>
      </c>
      <c r="G23" s="68"/>
      <c r="H23" s="68"/>
      <c r="I23" s="68"/>
      <c r="J23" s="68">
        <f>+G23+H23+I23</f>
        <v>0</v>
      </c>
      <c r="K23" s="71">
        <f>+J23/3</f>
        <v>0</v>
      </c>
      <c r="L23" s="68"/>
      <c r="M23" s="68"/>
      <c r="N23" s="68"/>
      <c r="O23" s="68">
        <f>+L23+M23+N23</f>
        <v>0</v>
      </c>
      <c r="P23" s="69">
        <f>+O23/3</f>
        <v>0</v>
      </c>
      <c r="Q23" s="72"/>
      <c r="R23" s="72"/>
      <c r="S23" s="72"/>
      <c r="T23" s="72"/>
      <c r="U23" s="72"/>
    </row>
    <row r="24" spans="1:21" s="51" customFormat="1" ht="15.75">
      <c r="A24" s="75"/>
      <c r="B24" s="76"/>
      <c r="C24" s="76"/>
      <c r="D24" s="76"/>
      <c r="E24" s="76"/>
      <c r="F24" s="77">
        <f>+F22-F23</f>
        <v>20523.48557333333</v>
      </c>
      <c r="G24" s="76"/>
      <c r="H24" s="76"/>
      <c r="I24" s="76"/>
      <c r="J24" s="76"/>
      <c r="K24" s="77">
        <f>+K22-K23</f>
        <v>6985.182510000001</v>
      </c>
      <c r="L24" s="78"/>
      <c r="M24" s="79"/>
      <c r="N24" s="79"/>
      <c r="O24" s="79"/>
      <c r="P24" s="80">
        <f>+P22-P23</f>
        <v>7635.326603333333</v>
      </c>
      <c r="Q24" s="81"/>
      <c r="R24" s="81"/>
      <c r="S24" s="81"/>
      <c r="T24" s="81"/>
      <c r="U24" s="81"/>
    </row>
    <row r="25" spans="1:21" s="51" customFormat="1" ht="15.75">
      <c r="A25" s="8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79"/>
      <c r="N25" s="79"/>
      <c r="O25" s="79"/>
      <c r="P25" s="80"/>
      <c r="Q25" s="81"/>
      <c r="R25" s="81"/>
      <c r="S25" s="81"/>
      <c r="T25" s="81"/>
      <c r="U25" s="81"/>
    </row>
    <row r="26" spans="1:21" s="51" customFormat="1" ht="24.75" customHeight="1">
      <c r="A26" s="253" t="s">
        <v>103</v>
      </c>
      <c r="B26" s="255" t="s">
        <v>14</v>
      </c>
      <c r="C26" s="255"/>
      <c r="D26" s="255"/>
      <c r="E26" s="255"/>
      <c r="F26" s="255"/>
      <c r="G26" s="255" t="s">
        <v>15</v>
      </c>
      <c r="H26" s="255"/>
      <c r="I26" s="255"/>
      <c r="J26" s="255"/>
      <c r="K26" s="255"/>
      <c r="L26" s="257"/>
      <c r="M26" s="257"/>
      <c r="N26" s="257"/>
      <c r="O26" s="257"/>
      <c r="P26" s="257"/>
      <c r="Q26" s="258"/>
      <c r="R26" s="258"/>
      <c r="S26" s="258"/>
      <c r="T26" s="258"/>
      <c r="U26" s="258"/>
    </row>
    <row r="27" spans="1:21" s="51" customFormat="1" ht="31.5">
      <c r="A27" s="253"/>
      <c r="B27" s="83" t="s">
        <v>104</v>
      </c>
      <c r="C27" s="83" t="s">
        <v>105</v>
      </c>
      <c r="D27" s="83" t="s">
        <v>106</v>
      </c>
      <c r="E27" s="84" t="s">
        <v>107</v>
      </c>
      <c r="F27" s="85" t="s">
        <v>108</v>
      </c>
      <c r="G27" s="240" t="s">
        <v>104</v>
      </c>
      <c r="H27" s="240" t="s">
        <v>105</v>
      </c>
      <c r="I27" s="240" t="s">
        <v>106</v>
      </c>
      <c r="J27" s="52" t="s">
        <v>107</v>
      </c>
      <c r="K27" s="54" t="s">
        <v>108</v>
      </c>
      <c r="L27" s="83"/>
      <c r="M27" s="83"/>
      <c r="N27" s="83"/>
      <c r="O27" s="84"/>
      <c r="P27" s="85"/>
      <c r="Q27" s="86"/>
      <c r="R27" s="86"/>
      <c r="S27" s="86"/>
      <c r="T27" s="87"/>
      <c r="U27" s="87"/>
    </row>
    <row r="28" spans="1:21" s="51" customFormat="1" ht="31.5">
      <c r="A28" s="57" t="s">
        <v>109</v>
      </c>
      <c r="B28" s="60">
        <v>1313.77333</v>
      </c>
      <c r="C28" s="60">
        <v>1491.78683</v>
      </c>
      <c r="D28" s="60">
        <v>1437.62459</v>
      </c>
      <c r="E28" s="60">
        <f>+B28+C28+D28</f>
        <v>4243.18475</v>
      </c>
      <c r="F28" s="233">
        <f aca="true" t="shared" si="4" ref="F28:F33">+E28/3</f>
        <v>1414.3949166666669</v>
      </c>
      <c r="G28" s="60">
        <v>1653.15494</v>
      </c>
      <c r="H28" s="60">
        <v>1642.96789</v>
      </c>
      <c r="I28" s="60">
        <v>1682.15348</v>
      </c>
      <c r="J28" s="60">
        <f>+G28+H28+I28</f>
        <v>4978.276309999999</v>
      </c>
      <c r="K28" s="237">
        <f aca="true" t="shared" si="5" ref="K28:K33">+J28/3</f>
        <v>1659.4254366666664</v>
      </c>
      <c r="L28" s="58"/>
      <c r="M28" s="58"/>
      <c r="N28" s="58"/>
      <c r="O28" s="58"/>
      <c r="P28" s="59"/>
      <c r="Q28" s="61"/>
      <c r="R28" s="61"/>
      <c r="S28" s="61"/>
      <c r="T28" s="61"/>
      <c r="U28" s="61"/>
    </row>
    <row r="29" spans="1:21" s="51" customFormat="1" ht="19.5" customHeight="1">
      <c r="A29" s="57" t="s">
        <v>110</v>
      </c>
      <c r="B29" s="60">
        <v>343.87804</v>
      </c>
      <c r="C29" s="60">
        <v>464.05213</v>
      </c>
      <c r="D29" s="60">
        <v>625.14079</v>
      </c>
      <c r="E29" s="60">
        <f>+B29+C29+D29</f>
        <v>1433.07096</v>
      </c>
      <c r="F29" s="233">
        <f t="shared" si="4"/>
        <v>477.69032</v>
      </c>
      <c r="G29" s="60">
        <v>1846.70431</v>
      </c>
      <c r="H29" s="60">
        <v>2316.10767</v>
      </c>
      <c r="I29" s="60">
        <v>2066.5099</v>
      </c>
      <c r="J29" s="60">
        <f>+G29+H29+I29</f>
        <v>6229.32188</v>
      </c>
      <c r="K29" s="237">
        <f t="shared" si="5"/>
        <v>2076.440626666667</v>
      </c>
      <c r="L29" s="58"/>
      <c r="M29" s="58"/>
      <c r="N29" s="58"/>
      <c r="O29" s="58"/>
      <c r="P29" s="59"/>
      <c r="Q29" s="61"/>
      <c r="R29" s="61"/>
      <c r="S29" s="61"/>
      <c r="T29" s="61"/>
      <c r="U29" s="61"/>
    </row>
    <row r="30" spans="1:21" s="51" customFormat="1" ht="31.5">
      <c r="A30" s="57" t="s">
        <v>111</v>
      </c>
      <c r="B30" s="60">
        <v>1096.10692</v>
      </c>
      <c r="C30" s="60">
        <v>924.84237</v>
      </c>
      <c r="D30" s="60">
        <v>751.52432</v>
      </c>
      <c r="E30" s="60">
        <f>+B30+C30+D30</f>
        <v>2772.47361</v>
      </c>
      <c r="F30" s="233">
        <f t="shared" si="4"/>
        <v>924.15787</v>
      </c>
      <c r="G30" s="60">
        <v>504.80947</v>
      </c>
      <c r="H30" s="60">
        <v>407.12775</v>
      </c>
      <c r="I30" s="60">
        <v>431.25218</v>
      </c>
      <c r="J30" s="60">
        <f>+G30+H30+I30</f>
        <v>1343.1894</v>
      </c>
      <c r="K30" s="237">
        <f t="shared" si="5"/>
        <v>447.7298</v>
      </c>
      <c r="L30" s="58"/>
      <c r="M30" s="58"/>
      <c r="N30" s="58"/>
      <c r="O30" s="58"/>
      <c r="P30" s="59"/>
      <c r="Q30" s="61"/>
      <c r="R30" s="61"/>
      <c r="S30" s="61"/>
      <c r="T30" s="61"/>
      <c r="U30" s="61"/>
    </row>
    <row r="31" spans="1:21" s="51" customFormat="1" ht="26.25" customHeight="1">
      <c r="A31" s="57" t="s">
        <v>112</v>
      </c>
      <c r="B31" s="60">
        <v>4136.19976</v>
      </c>
      <c r="C31" s="60">
        <v>3357.09475</v>
      </c>
      <c r="D31" s="60">
        <v>2984.80887</v>
      </c>
      <c r="E31" s="60">
        <f>+B31+C31+D31</f>
        <v>10478.10338</v>
      </c>
      <c r="F31" s="233">
        <f t="shared" si="4"/>
        <v>3492.701126666667</v>
      </c>
      <c r="G31" s="60">
        <v>1048.0945</v>
      </c>
      <c r="H31" s="60">
        <v>767.08617</v>
      </c>
      <c r="I31" s="60">
        <v>634.47729</v>
      </c>
      <c r="J31" s="60">
        <f>+G31+H31+I31</f>
        <v>2449.65796</v>
      </c>
      <c r="K31" s="237">
        <f t="shared" si="5"/>
        <v>816.5526533333333</v>
      </c>
      <c r="L31" s="58"/>
      <c r="M31" s="58"/>
      <c r="N31" s="58"/>
      <c r="O31" s="58"/>
      <c r="P31" s="59"/>
      <c r="Q31" s="61"/>
      <c r="R31" s="61"/>
      <c r="S31" s="61"/>
      <c r="T31" s="61"/>
      <c r="U31" s="61"/>
    </row>
    <row r="32" spans="1:21" s="66" customFormat="1" ht="31.5" hidden="1">
      <c r="A32" s="62" t="s">
        <v>114</v>
      </c>
      <c r="B32" s="63"/>
      <c r="C32" s="232"/>
      <c r="D32" s="232"/>
      <c r="E32" s="232"/>
      <c r="F32" s="235">
        <f t="shared" si="4"/>
        <v>0</v>
      </c>
      <c r="G32" s="232"/>
      <c r="H32" s="232"/>
      <c r="I32" s="232"/>
      <c r="J32" s="232"/>
      <c r="K32" s="238">
        <f t="shared" si="5"/>
        <v>0</v>
      </c>
      <c r="L32" s="63"/>
      <c r="M32" s="63"/>
      <c r="N32" s="63"/>
      <c r="O32" s="63"/>
      <c r="P32" s="64"/>
      <c r="Q32" s="65"/>
      <c r="R32" s="65"/>
      <c r="S32" s="65"/>
      <c r="T32" s="65"/>
      <c r="U32" s="65"/>
    </row>
    <row r="33" spans="1:21" s="66" customFormat="1" ht="15.75" hidden="1">
      <c r="A33" s="62" t="s">
        <v>112</v>
      </c>
      <c r="B33" s="63"/>
      <c r="C33" s="232"/>
      <c r="D33" s="232"/>
      <c r="E33" s="232"/>
      <c r="F33" s="235">
        <f t="shared" si="4"/>
        <v>0</v>
      </c>
      <c r="G33" s="232"/>
      <c r="H33" s="232"/>
      <c r="I33" s="232"/>
      <c r="J33" s="232"/>
      <c r="K33" s="238">
        <f t="shared" si="5"/>
        <v>0</v>
      </c>
      <c r="L33" s="63"/>
      <c r="M33" s="63"/>
      <c r="N33" s="63"/>
      <c r="O33" s="63"/>
      <c r="P33" s="64"/>
      <c r="Q33" s="65"/>
      <c r="R33" s="65"/>
      <c r="S33" s="65"/>
      <c r="T33" s="65"/>
      <c r="U33" s="65"/>
    </row>
    <row r="34" spans="1:21" s="51" customFormat="1" ht="15.75">
      <c r="A34" s="67" t="s">
        <v>113</v>
      </c>
      <c r="B34" s="70">
        <f aca="true" t="shared" si="6" ref="B34:K34">+B28+B29+B30+B31</f>
        <v>6889.95805</v>
      </c>
      <c r="C34" s="70">
        <f t="shared" si="6"/>
        <v>6237.77608</v>
      </c>
      <c r="D34" s="70">
        <f t="shared" si="6"/>
        <v>5799.09857</v>
      </c>
      <c r="E34" s="70">
        <f t="shared" si="6"/>
        <v>18926.8327</v>
      </c>
      <c r="F34" s="236">
        <f t="shared" si="6"/>
        <v>6308.944233333334</v>
      </c>
      <c r="G34" s="70">
        <f t="shared" si="6"/>
        <v>5052.76322</v>
      </c>
      <c r="H34" s="70">
        <f t="shared" si="6"/>
        <v>5133.2894799999995</v>
      </c>
      <c r="I34" s="70">
        <f t="shared" si="6"/>
        <v>4814.39285</v>
      </c>
      <c r="J34" s="70">
        <f t="shared" si="6"/>
        <v>15000.44555</v>
      </c>
      <c r="K34" s="239">
        <f t="shared" si="6"/>
        <v>5000.148516666666</v>
      </c>
      <c r="L34" s="68"/>
      <c r="M34" s="68"/>
      <c r="N34" s="68"/>
      <c r="O34" s="68"/>
      <c r="P34" s="69"/>
      <c r="Q34" s="72"/>
      <c r="R34" s="72"/>
      <c r="S34" s="72"/>
      <c r="T34" s="72"/>
      <c r="U34" s="72"/>
    </row>
    <row r="35" spans="1:21" s="51" customFormat="1" ht="15.75">
      <c r="A35" s="67"/>
      <c r="B35" s="68"/>
      <c r="C35" s="68"/>
      <c r="D35" s="68"/>
      <c r="E35" s="68">
        <f>+B35+C35+D35</f>
        <v>0</v>
      </c>
      <c r="F35" s="69">
        <f>+E35/3</f>
        <v>0</v>
      </c>
      <c r="G35" s="68"/>
      <c r="H35" s="68"/>
      <c r="I35" s="68"/>
      <c r="J35" s="68">
        <f>+G35+H35+I35</f>
        <v>0</v>
      </c>
      <c r="K35" s="71">
        <f>+J35/3</f>
        <v>0</v>
      </c>
      <c r="L35" s="68"/>
      <c r="M35" s="68"/>
      <c r="N35" s="68"/>
      <c r="O35" s="68"/>
      <c r="P35" s="69"/>
      <c r="Q35" s="72"/>
      <c r="R35" s="72"/>
      <c r="S35" s="72"/>
      <c r="T35" s="72"/>
      <c r="U35" s="72"/>
    </row>
    <row r="36" spans="1:21" s="51" customFormat="1" ht="15.75">
      <c r="A36" s="82"/>
      <c r="B36" s="77"/>
      <c r="C36" s="77"/>
      <c r="D36" s="77"/>
      <c r="E36" s="77"/>
      <c r="F36" s="77">
        <f>+F34-F35</f>
        <v>6308.944233333334</v>
      </c>
      <c r="G36" s="77"/>
      <c r="H36" s="77"/>
      <c r="I36" s="77"/>
      <c r="J36" s="77"/>
      <c r="K36" s="77">
        <f>+K34-K35</f>
        <v>5000.148516666666</v>
      </c>
      <c r="L36" s="77"/>
      <c r="M36" s="77"/>
      <c r="N36" s="77"/>
      <c r="O36" s="77"/>
      <c r="P36" s="77">
        <f>+P34-P35</f>
        <v>0</v>
      </c>
      <c r="Q36" s="81"/>
      <c r="R36" s="81"/>
      <c r="S36" s="81"/>
      <c r="T36" s="81"/>
      <c r="U36" s="81"/>
    </row>
    <row r="37" spans="1:21" s="51" customFormat="1" ht="15.75">
      <c r="A37" s="8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8"/>
      <c r="R37" s="88"/>
      <c r="S37" s="88"/>
      <c r="T37" s="88"/>
      <c r="U37" s="88"/>
    </row>
    <row r="38" spans="1:21" s="51" customFormat="1" ht="15.75" customHeight="1">
      <c r="A38" s="253" t="s">
        <v>103</v>
      </c>
      <c r="B38" s="257" t="s">
        <v>16</v>
      </c>
      <c r="C38" s="257"/>
      <c r="D38" s="257"/>
      <c r="E38" s="257"/>
      <c r="F38" s="25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8"/>
      <c r="R38" s="88"/>
      <c r="S38" s="88"/>
      <c r="T38" s="88"/>
      <c r="U38" s="88"/>
    </row>
    <row r="39" spans="1:21" s="51" customFormat="1" ht="31.5">
      <c r="A39" s="253"/>
      <c r="B39" s="83" t="s">
        <v>104</v>
      </c>
      <c r="C39" s="83" t="s">
        <v>105</v>
      </c>
      <c r="D39" s="83" t="s">
        <v>106</v>
      </c>
      <c r="E39" s="84" t="s">
        <v>107</v>
      </c>
      <c r="F39" s="85" t="s">
        <v>108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88"/>
      <c r="R39" s="88"/>
      <c r="S39" s="88"/>
      <c r="T39" s="88"/>
      <c r="U39" s="88"/>
    </row>
    <row r="40" spans="1:21" s="51" customFormat="1" ht="31.5">
      <c r="A40" s="57" t="s">
        <v>109</v>
      </c>
      <c r="B40" s="58">
        <f>+B16+G16+L16+Q16+B28+G28+L28+Q28</f>
        <v>6562.69081</v>
      </c>
      <c r="C40" s="58">
        <f>+C16+H16+M16+R16+C28+H28+M28+R28</f>
        <v>6706.06366</v>
      </c>
      <c r="D40" s="58">
        <f>+D16+I16+N16+S16+D28+I28+N28+S28</f>
        <v>6377.265189999999</v>
      </c>
      <c r="E40" s="58">
        <f>+B40+C40+D40</f>
        <v>19646.019659999998</v>
      </c>
      <c r="F40" s="59">
        <f aca="true" t="shared" si="7" ref="F40:F45">+E40/3</f>
        <v>6548.67322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8"/>
      <c r="R40" s="88"/>
      <c r="S40" s="88"/>
      <c r="T40" s="88"/>
      <c r="U40" s="88"/>
    </row>
    <row r="41" spans="1:21" s="51" customFormat="1" ht="22.5" customHeight="1">
      <c r="A41" s="57" t="s">
        <v>110</v>
      </c>
      <c r="B41" s="58">
        <f>+B17+G17+L17+B29+G29</f>
        <v>19173.4866</v>
      </c>
      <c r="C41" s="58">
        <f>+C17+H17+M17+C29+H29</f>
        <v>23842.703480000004</v>
      </c>
      <c r="D41" s="58">
        <f>+D17+I17+N17+S17+D29+I29+N29+S29</f>
        <v>24620.923160000002</v>
      </c>
      <c r="E41" s="58">
        <f>+B41+C41+D41</f>
        <v>67637.11324</v>
      </c>
      <c r="F41" s="59">
        <f t="shared" si="7"/>
        <v>22545.704413333337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88"/>
      <c r="R41" s="88"/>
      <c r="S41" s="88"/>
      <c r="T41" s="88"/>
      <c r="U41" s="88"/>
    </row>
    <row r="42" spans="1:21" s="51" customFormat="1" ht="31.5">
      <c r="A42" s="57" t="s">
        <v>111</v>
      </c>
      <c r="B42" s="58">
        <f>+B18+G18+L18+Q18+B30+G30+L30+Q30</f>
        <v>3059.23499</v>
      </c>
      <c r="C42" s="58">
        <f>+C18+H18+M18+R18+C30+H30+M30+R30</f>
        <v>3866.01756</v>
      </c>
      <c r="D42" s="58">
        <f>+D18+I18+N18+S18+D30+I30+N30+S30</f>
        <v>4854.72873</v>
      </c>
      <c r="E42" s="58">
        <f>+B42+C42+D42</f>
        <v>11779.98128</v>
      </c>
      <c r="F42" s="59">
        <f t="shared" si="7"/>
        <v>3926.660426666667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88"/>
      <c r="R42" s="88"/>
      <c r="S42" s="88"/>
      <c r="T42" s="88"/>
      <c r="U42" s="88"/>
    </row>
    <row r="43" spans="1:21" s="51" customFormat="1" ht="27" customHeight="1">
      <c r="A43" s="57" t="s">
        <v>112</v>
      </c>
      <c r="B43" s="58">
        <f>+B19+G19+L19+Q19+B31+G31+L31+Q31</f>
        <v>12933.86248</v>
      </c>
      <c r="C43" s="58">
        <f>+C19+H19+M19+R19+C31+H31+M31+R31</f>
        <v>12519.97873</v>
      </c>
      <c r="D43" s="58">
        <f>+D19+I19+N19+S19+D31+I31+N31+S31</f>
        <v>14842.30692</v>
      </c>
      <c r="E43" s="58">
        <f>+B43+C43+D43</f>
        <v>40296.14813</v>
      </c>
      <c r="F43" s="59">
        <f t="shared" si="7"/>
        <v>13432.049376666668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88"/>
      <c r="R43" s="88"/>
      <c r="S43" s="88"/>
      <c r="T43" s="88"/>
      <c r="U43" s="88"/>
    </row>
    <row r="44" spans="1:21" s="66" customFormat="1" ht="15.75" hidden="1">
      <c r="A44" s="62"/>
      <c r="B44" s="63"/>
      <c r="C44" s="63"/>
      <c r="D44" s="63"/>
      <c r="E44" s="63"/>
      <c r="F44" s="64">
        <f t="shared" si="7"/>
        <v>0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0"/>
      <c r="S44" s="90"/>
      <c r="T44" s="90"/>
      <c r="U44" s="90"/>
    </row>
    <row r="45" spans="1:21" s="66" customFormat="1" ht="15.75" hidden="1">
      <c r="A45" s="62"/>
      <c r="B45" s="63"/>
      <c r="C45" s="63"/>
      <c r="D45" s="63"/>
      <c r="E45" s="63"/>
      <c r="F45" s="64">
        <f t="shared" si="7"/>
        <v>0</v>
      </c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90"/>
      <c r="S45" s="90"/>
      <c r="T45" s="90"/>
      <c r="U45" s="90"/>
    </row>
    <row r="46" spans="1:21" s="51" customFormat="1" ht="15.75">
      <c r="A46" s="67" t="s">
        <v>113</v>
      </c>
      <c r="B46" s="68">
        <f>+B40+B41+B42+B43</f>
        <v>41729.27488</v>
      </c>
      <c r="C46" s="68">
        <f>+C40+C41+C42+C43</f>
        <v>46934.763430000006</v>
      </c>
      <c r="D46" s="68">
        <f>+D40+D41+D42+D43</f>
        <v>50695.224</v>
      </c>
      <c r="E46" s="68">
        <f>+E40+E41+E42+E43</f>
        <v>139359.26231000002</v>
      </c>
      <c r="F46" s="69">
        <f>+F40+F41+F42+F43</f>
        <v>46453.087436666676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88"/>
      <c r="R46" s="88"/>
      <c r="S46" s="88"/>
      <c r="T46" s="88"/>
      <c r="U46" s="88"/>
    </row>
    <row r="47" spans="1:21" s="51" customFormat="1" ht="15.75">
      <c r="A47" s="91"/>
      <c r="B47" s="92">
        <f>B23+G23+L23+Q23+B35+G35+L35+Q35</f>
        <v>0</v>
      </c>
      <c r="C47" s="92">
        <f>C23+H23+M23+R23+C35+H35+M35+R35</f>
        <v>0</v>
      </c>
      <c r="D47" s="92">
        <f>D23+I23+N23+S23+D35+I35+N35+S35</f>
        <v>0</v>
      </c>
      <c r="E47" s="92">
        <f>+B47+C47+D47</f>
        <v>0</v>
      </c>
      <c r="F47" s="92">
        <f>+E47/3</f>
        <v>0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88"/>
      <c r="R47" s="88"/>
      <c r="S47" s="88"/>
      <c r="T47" s="88"/>
      <c r="U47" s="88"/>
    </row>
    <row r="48" spans="1:21" s="51" customFormat="1" ht="15.75">
      <c r="A48" s="91"/>
      <c r="B48" s="93"/>
      <c r="C48" s="93"/>
      <c r="D48" s="93"/>
      <c r="E48" s="93"/>
      <c r="F48" s="93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88"/>
      <c r="R48" s="88"/>
      <c r="S48" s="88"/>
      <c r="T48" s="88"/>
      <c r="U48" s="88"/>
    </row>
    <row r="49" spans="1:21" s="51" customFormat="1" ht="15.75">
      <c r="A49" s="82"/>
      <c r="B49" s="77"/>
      <c r="C49" s="77"/>
      <c r="D49" s="77"/>
      <c r="E49" s="77"/>
      <c r="F49" s="77">
        <f>+F46-F47</f>
        <v>46453.087436666676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88"/>
      <c r="R49" s="88"/>
      <c r="S49" s="88"/>
      <c r="T49" s="88"/>
      <c r="U49" s="88"/>
    </row>
    <row r="50" s="1" customFormat="1" ht="15.75">
      <c r="A50" s="82"/>
    </row>
  </sheetData>
  <sheetProtection selectLockedCells="1" selectUnlockedCells="1"/>
  <mergeCells count="15">
    <mergeCell ref="A26:A27"/>
    <mergeCell ref="B26:F26"/>
    <mergeCell ref="G26:K26"/>
    <mergeCell ref="L26:P26"/>
    <mergeCell ref="Q26:U26"/>
    <mergeCell ref="A38:A39"/>
    <mergeCell ref="B38:F38"/>
    <mergeCell ref="A2:G2"/>
    <mergeCell ref="A12:U12"/>
    <mergeCell ref="A13:E13"/>
    <mergeCell ref="A14:A15"/>
    <mergeCell ref="B14:F14"/>
    <mergeCell ref="G14:K14"/>
    <mergeCell ref="L14:P14"/>
    <mergeCell ref="Q14:U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15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3.125" style="0" customWidth="1"/>
    <col min="2" max="2" width="31.75390625" style="0" customWidth="1"/>
    <col min="3" max="3" width="10.625" style="0" customWidth="1"/>
    <col min="4" max="4" width="11.125" style="0" customWidth="1"/>
    <col min="5" max="5" width="13.75390625" style="94" customWidth="1"/>
    <col min="6" max="6" width="10.375" style="0" customWidth="1"/>
    <col min="7" max="7" width="11.25390625" style="0" customWidth="1"/>
    <col min="8" max="8" width="11.125" style="0" customWidth="1"/>
    <col min="9" max="9" width="12.25390625" style="94" customWidth="1"/>
    <col min="10" max="12" width="12.875" style="0" customWidth="1"/>
    <col min="13" max="13" width="12.875" style="95" customWidth="1"/>
    <col min="14" max="14" width="10.875" style="0" customWidth="1"/>
    <col min="15" max="16" width="9.00390625" style="0" customWidth="1"/>
    <col min="17" max="17" width="9.125" style="95" customWidth="1"/>
    <col min="18" max="18" width="13.00390625" style="94" customWidth="1"/>
    <col min="19" max="19" width="9.00390625" style="0" customWidth="1"/>
    <col min="20" max="20" width="9.125" style="40" customWidth="1"/>
  </cols>
  <sheetData>
    <row r="1" ht="12.75">
      <c r="N1" t="s">
        <v>115</v>
      </c>
    </row>
    <row r="2" spans="1:18" ht="66.75" customHeight="1">
      <c r="A2" s="259" t="s">
        <v>116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4" spans="1:18" ht="38.25" customHeight="1">
      <c r="A4" s="260" t="s">
        <v>2</v>
      </c>
      <c r="B4" s="260" t="s">
        <v>3</v>
      </c>
      <c r="C4" s="261" t="s">
        <v>117</v>
      </c>
      <c r="D4" s="261"/>
      <c r="E4" s="261"/>
      <c r="F4" s="262" t="s">
        <v>99</v>
      </c>
      <c r="G4" s="262"/>
      <c r="H4" s="262"/>
      <c r="I4" s="262"/>
      <c r="J4" s="262" t="s">
        <v>98</v>
      </c>
      <c r="K4" s="262"/>
      <c r="L4" s="262"/>
      <c r="M4" s="262"/>
      <c r="N4" s="263" t="s">
        <v>118</v>
      </c>
      <c r="O4" s="263"/>
      <c r="P4" s="263"/>
      <c r="Q4" s="263"/>
      <c r="R4" s="264" t="s">
        <v>119</v>
      </c>
    </row>
    <row r="5" spans="1:20" ht="62.25" customHeight="1">
      <c r="A5" s="260"/>
      <c r="B5" s="260"/>
      <c r="C5" s="96" t="s">
        <v>120</v>
      </c>
      <c r="D5" s="96" t="s">
        <v>121</v>
      </c>
      <c r="E5" s="98" t="s">
        <v>189</v>
      </c>
      <c r="F5" s="97" t="s">
        <v>120</v>
      </c>
      <c r="G5" s="99" t="s">
        <v>122</v>
      </c>
      <c r="H5" s="97" t="s">
        <v>121</v>
      </c>
      <c r="I5" s="100" t="s">
        <v>196</v>
      </c>
      <c r="J5" s="97" t="s">
        <v>120</v>
      </c>
      <c r="K5" s="99" t="s">
        <v>122</v>
      </c>
      <c r="L5" s="97" t="s">
        <v>121</v>
      </c>
      <c r="M5" s="101" t="s">
        <v>190</v>
      </c>
      <c r="N5" s="97" t="s">
        <v>120</v>
      </c>
      <c r="O5" s="99" t="s">
        <v>122</v>
      </c>
      <c r="P5" s="97" t="s">
        <v>121</v>
      </c>
      <c r="Q5" s="101" t="s">
        <v>191</v>
      </c>
      <c r="R5" s="264"/>
      <c r="T5" s="102"/>
    </row>
    <row r="6" spans="1:18" ht="12.75">
      <c r="A6" s="103">
        <v>1</v>
      </c>
      <c r="B6" s="103">
        <v>2</v>
      </c>
      <c r="C6" s="104">
        <v>3</v>
      </c>
      <c r="D6" s="104">
        <v>4</v>
      </c>
      <c r="E6" s="105">
        <v>5</v>
      </c>
      <c r="F6" s="106">
        <v>6</v>
      </c>
      <c r="G6" s="106">
        <v>7</v>
      </c>
      <c r="H6" s="106">
        <v>8</v>
      </c>
      <c r="I6" s="105">
        <v>9</v>
      </c>
      <c r="J6" s="106">
        <v>10</v>
      </c>
      <c r="K6" s="106">
        <v>12</v>
      </c>
      <c r="L6" s="106">
        <v>13</v>
      </c>
      <c r="M6" s="107">
        <v>14</v>
      </c>
      <c r="N6" s="106">
        <v>15</v>
      </c>
      <c r="O6" s="106">
        <v>16</v>
      </c>
      <c r="P6" s="106">
        <v>17</v>
      </c>
      <c r="Q6" s="107">
        <v>18</v>
      </c>
      <c r="R6" s="105">
        <v>19</v>
      </c>
    </row>
    <row r="7" spans="1:18" ht="37.5" customHeight="1">
      <c r="A7" s="20">
        <v>1</v>
      </c>
      <c r="B7" s="8" t="s">
        <v>11</v>
      </c>
      <c r="C7" s="108">
        <f>+'Коэф.масшт.'!C5</f>
        <v>4513</v>
      </c>
      <c r="D7" s="22">
        <f>+'Коэф.масшт.'!D5</f>
        <v>0.8298781298471083</v>
      </c>
      <c r="E7" s="109">
        <f>((C7*D7/C7)/(C15*D15/C15))*'Расчет доли '!G5/100</f>
        <v>0.17204582669504634</v>
      </c>
      <c r="F7" s="108">
        <f>'Коэф.масшт.'!C5</f>
        <v>4513</v>
      </c>
      <c r="G7" s="110">
        <f>+'Коэф.дисп'!D6</f>
        <v>1.210059827165965</v>
      </c>
      <c r="H7" s="22">
        <f>+'Коэф.масшт.'!D5</f>
        <v>0.8298781298471083</v>
      </c>
      <c r="I7" s="109">
        <f>((F7*G7*H7/F7)/(F15*G15*H15/F15))*8.5/100</f>
        <v>0.09383281900555533</v>
      </c>
      <c r="J7" s="108">
        <f>'Коэф.масшт.'!C5</f>
        <v>4513</v>
      </c>
      <c r="K7" s="110">
        <f>+G7</f>
        <v>1.210059827165965</v>
      </c>
      <c r="L7" s="22">
        <f>+'Коэф.масшт.'!D5</f>
        <v>0.8298781298471083</v>
      </c>
      <c r="M7" s="109">
        <f>(J7*K7*L7/J7)/(J15*K15*L15/J15)*'Расчет доли '!G6/100</f>
        <v>0.535778229887703</v>
      </c>
      <c r="N7" s="108">
        <f>'Коэф.масшт.'!C5</f>
        <v>4513</v>
      </c>
      <c r="O7" s="110">
        <f>+G7</f>
        <v>1.210059827165965</v>
      </c>
      <c r="P7" s="22">
        <f>'Коэф.масшт.'!D5</f>
        <v>0.8298781298471083</v>
      </c>
      <c r="Q7" s="109">
        <f>(O7*P7)/(O15*P15)*'Расчет доли '!G8/100</f>
        <v>0.3192004785860087</v>
      </c>
      <c r="R7" s="109">
        <f>+E7+I7+M7+Q7</f>
        <v>1.1208573541743134</v>
      </c>
    </row>
    <row r="8" spans="1:18" ht="28.5" customHeight="1">
      <c r="A8" s="20">
        <v>2</v>
      </c>
      <c r="B8" s="8" t="s">
        <v>12</v>
      </c>
      <c r="C8" s="108">
        <f>+'Коэф.масшт.'!C6</f>
        <v>3083</v>
      </c>
      <c r="D8" s="22">
        <f>+'Коэф.масшт.'!D6</f>
        <v>0.936503405773597</v>
      </c>
      <c r="E8" s="109">
        <f>((C8*D8/C8)/(C15*D15/C15))*'Расчет доли '!G5/100</f>
        <v>0.19415079980325423</v>
      </c>
      <c r="F8" s="108">
        <f>'Коэф.масшт.'!C6</f>
        <v>3083</v>
      </c>
      <c r="G8" s="110">
        <f>+'Коэф.дисп'!D17</f>
        <v>1.100227051573143</v>
      </c>
      <c r="H8" s="22">
        <f>+'Коэф.масшт.'!D6</f>
        <v>0.936503405773597</v>
      </c>
      <c r="I8" s="109">
        <f>((F8*G8*H8/F8)/(F15*G15*H15/F15))*'Расчет доли '!G7/100</f>
        <v>0.09574478255513875</v>
      </c>
      <c r="J8" s="108">
        <f>'Коэф.масшт.'!C6</f>
        <v>3083</v>
      </c>
      <c r="K8" s="110">
        <f>+G8</f>
        <v>1.100227051573143</v>
      </c>
      <c r="L8" s="22">
        <f>+'Коэф.масшт.'!D6</f>
        <v>0.936503405773597</v>
      </c>
      <c r="M8" s="109">
        <f>(J8*K8*L8/J8)/(J15*K15*L15/J15)*'Расчет доли '!G6/100</f>
        <v>0.5497377751198851</v>
      </c>
      <c r="N8" s="108">
        <f>'Коэф.масшт.'!C6</f>
        <v>3083</v>
      </c>
      <c r="O8" s="110">
        <f>+G8</f>
        <v>1.100227051573143</v>
      </c>
      <c r="P8" s="22">
        <f>'Коэф.масшт.'!D6</f>
        <v>0.936503405773597</v>
      </c>
      <c r="Q8" s="109">
        <f>(O8*P8)/(O15*P15)*'Расчет доли '!G8/100</f>
        <v>0.3275171537892725</v>
      </c>
      <c r="R8" s="109">
        <f>+E8+I8+M8+Q8</f>
        <v>1.1671505112675504</v>
      </c>
    </row>
    <row r="9" spans="1:18" ht="25.5" customHeight="1">
      <c r="A9" s="20">
        <v>3</v>
      </c>
      <c r="B9" s="8" t="s">
        <v>13</v>
      </c>
      <c r="C9" s="108">
        <f>+'Коэф.масшт.'!C7</f>
        <v>1572</v>
      </c>
      <c r="D9" s="22">
        <f>+'Коэф.масшт.'!D7</f>
        <v>1.2599491094147581</v>
      </c>
      <c r="E9" s="109">
        <f>((C9*D9/C9)/(C15*D15/C15))*'Расчет доли '!G5/100</f>
        <v>0.26120580640302654</v>
      </c>
      <c r="F9" s="108">
        <f>'Коэф.масшт.'!C7</f>
        <v>1572</v>
      </c>
      <c r="G9" s="110">
        <f>'Коэф.дисп'!D21</f>
        <v>2</v>
      </c>
      <c r="H9" s="22">
        <f>+'Коэф.масшт.'!D7</f>
        <v>1.2599491094147581</v>
      </c>
      <c r="I9" s="109">
        <f>((F9*G9*H9/F9)/(F15*G15*H15/F15))*'Расчет доли '!G7/100</f>
        <v>0.23415661796622872</v>
      </c>
      <c r="J9" s="108">
        <f>'Коэф.масшт.'!C7</f>
        <v>1572</v>
      </c>
      <c r="K9" s="110">
        <f>+G9</f>
        <v>2</v>
      </c>
      <c r="L9" s="22">
        <f>+'Коэф.масшт.'!D7</f>
        <v>1.2599491094147581</v>
      </c>
      <c r="M9" s="109">
        <f>(J9*K9*L9/J9)/(J15*K15*L15/J15)*'Расчет доли '!G6/100</f>
        <v>1.3444569485153912</v>
      </c>
      <c r="N9" s="108">
        <f>'Коэф.масшт.'!C7</f>
        <v>1572</v>
      </c>
      <c r="O9" s="110">
        <f>+G9</f>
        <v>2</v>
      </c>
      <c r="P9" s="22">
        <f>'Коэф.масшт.'!D7</f>
        <v>1.2599491094147581</v>
      </c>
      <c r="Q9" s="109">
        <f>(O9*P9)/(O15*P15)*'Расчет доли '!G8/100</f>
        <v>0.80098682153313</v>
      </c>
      <c r="R9" s="109">
        <f>+E9+I9+M9+Q9</f>
        <v>2.6408061944177765</v>
      </c>
    </row>
    <row r="10" spans="1:18" ht="23.25" customHeight="1">
      <c r="A10" s="20">
        <v>4</v>
      </c>
      <c r="B10" s="8" t="s">
        <v>14</v>
      </c>
      <c r="C10" s="108">
        <f>+'Коэф.масшт.'!C8</f>
        <v>2261</v>
      </c>
      <c r="D10" s="22">
        <f>+'Коэф.масшт.'!D8</f>
        <v>1.0588412206988058</v>
      </c>
      <c r="E10" s="109">
        <f>((C10*D10/C10)/(C15*D15/C15))*'Расчет доли '!G5/100</f>
        <v>0.21951321115966727</v>
      </c>
      <c r="F10" s="108">
        <f>'Коэф.масшт.'!C8</f>
        <v>2261</v>
      </c>
      <c r="G10" s="110">
        <f>'Коэф.дисп'!D29</f>
        <v>1.3936311366651923</v>
      </c>
      <c r="H10" s="22">
        <f>+'Коэф.масшт.'!D8</f>
        <v>1.0588412206988058</v>
      </c>
      <c r="I10" s="109">
        <f>((F10*G10*H10/F10)/(F15*G15*H15/F15))*'Расчет доли '!G7/100</f>
        <v>0.13712041471087338</v>
      </c>
      <c r="J10" s="108">
        <f>'Коэф.масшт.'!C8</f>
        <v>2261</v>
      </c>
      <c r="K10" s="110">
        <f>+G10</f>
        <v>1.3936311366651923</v>
      </c>
      <c r="L10" s="22">
        <f>+'Коэф.масшт.'!D8</f>
        <v>1.0588412206988058</v>
      </c>
      <c r="M10" s="109">
        <f>(J10*K10*L10/J10)/(J15*K15*L15/J15)*'Расчет доли '!G6/100</f>
        <v>0.7873042237394036</v>
      </c>
      <c r="N10" s="108">
        <f>'Коэф.масшт.'!C8</f>
        <v>2261</v>
      </c>
      <c r="O10" s="110">
        <f>+G10</f>
        <v>1.3936311366651923</v>
      </c>
      <c r="P10" s="22">
        <f>'Коэф.масшт.'!D8</f>
        <v>1.0588412206988058</v>
      </c>
      <c r="Q10" s="109">
        <f>(O10*P10)/(O15*P15)*'Расчет доли '!G8/100</f>
        <v>0.4690520648124819</v>
      </c>
      <c r="R10" s="109">
        <f>+E10+I10+M10+Q10</f>
        <v>1.612989914422426</v>
      </c>
    </row>
    <row r="11" spans="1:18" ht="27.75" customHeight="1">
      <c r="A11" s="20">
        <v>5</v>
      </c>
      <c r="B11" s="8" t="s">
        <v>15</v>
      </c>
      <c r="C11" s="108">
        <f>+'Коэф.масшт.'!C9</f>
        <v>1539</v>
      </c>
      <c r="D11" s="22">
        <f>+'Коэф.масшт.'!D9</f>
        <v>1.274100064977258</v>
      </c>
      <c r="E11" s="109">
        <f>((C11*D11/C11)/(C15*D15/C15))*'Расчет доли '!G5/100</f>
        <v>0.2641395056544138</v>
      </c>
      <c r="F11" s="108">
        <f>'Коэф.масшт.'!C9</f>
        <v>1539</v>
      </c>
      <c r="G11" s="110">
        <f>'Коэф.дисп'!D34</f>
        <v>1.4294996751137101</v>
      </c>
      <c r="H11" s="22">
        <f>+'Коэф.масшт.'!D9</f>
        <v>1.274100064977258</v>
      </c>
      <c r="I11" s="109">
        <f>((F11*G11*H11/F11)/(F15*G15*H15/F15))*'Расчет доли '!G7/100</f>
        <v>0.16924312510035489</v>
      </c>
      <c r="J11" s="108">
        <f>'Коэф.масшт.'!C9</f>
        <v>1539</v>
      </c>
      <c r="K11" s="110">
        <f>+G11</f>
        <v>1.4294996751137101</v>
      </c>
      <c r="L11" s="22">
        <f>+'Коэф.масшт.'!D9</f>
        <v>1.274100064977258</v>
      </c>
      <c r="M11" s="109">
        <f>(J11*K11*L11/J11)/(J15*K15*L15/J15)*'Расчет доли '!G6/100</f>
        <v>0.9717431755973206</v>
      </c>
      <c r="N11" s="108">
        <f>'Коэф.масшт.'!C9</f>
        <v>1539</v>
      </c>
      <c r="O11" s="110">
        <f>+G11</f>
        <v>1.4294996751137101</v>
      </c>
      <c r="P11" s="22">
        <f>'Коэф.масшт.'!D9</f>
        <v>1.274100064977258</v>
      </c>
      <c r="Q11" s="109">
        <f>(O11*P11)/(O15*P15)*'Расчет доли '!G8/100</f>
        <v>0.5789352187347466</v>
      </c>
      <c r="R11" s="109">
        <f>+E11+I11+M11+Q11</f>
        <v>1.9840610250868358</v>
      </c>
    </row>
    <row r="12" spans="1:18" ht="12.75">
      <c r="A12" s="20">
        <v>6</v>
      </c>
      <c r="B12" s="8"/>
      <c r="C12" s="108"/>
      <c r="D12" s="22"/>
      <c r="E12" s="109"/>
      <c r="F12" s="108"/>
      <c r="G12" s="110"/>
      <c r="H12" s="22"/>
      <c r="I12" s="109"/>
      <c r="J12" s="108"/>
      <c r="K12" s="110"/>
      <c r="L12" s="22"/>
      <c r="M12" s="109"/>
      <c r="N12" s="108"/>
      <c r="O12" s="110"/>
      <c r="P12" s="22"/>
      <c r="Q12" s="109"/>
      <c r="R12" s="109"/>
    </row>
    <row r="13" spans="1:18" ht="12.75">
      <c r="A13" s="20">
        <v>7</v>
      </c>
      <c r="B13" s="8"/>
      <c r="C13" s="108"/>
      <c r="D13" s="22"/>
      <c r="E13" s="109"/>
      <c r="F13" s="108"/>
      <c r="G13" s="110"/>
      <c r="H13" s="22"/>
      <c r="I13" s="109"/>
      <c r="J13" s="108"/>
      <c r="K13" s="110"/>
      <c r="L13" s="22"/>
      <c r="M13" s="109"/>
      <c r="N13" s="108"/>
      <c r="O13" s="110"/>
      <c r="P13" s="22"/>
      <c r="Q13" s="109"/>
      <c r="R13" s="109"/>
    </row>
    <row r="14" spans="1:18" ht="12.75">
      <c r="A14" s="20">
        <v>8</v>
      </c>
      <c r="B14" s="8"/>
      <c r="C14" s="108"/>
      <c r="D14" s="22"/>
      <c r="E14" s="109"/>
      <c r="F14" s="108"/>
      <c r="G14" s="110"/>
      <c r="H14" s="22"/>
      <c r="I14" s="109"/>
      <c r="J14" s="108"/>
      <c r="K14" s="110"/>
      <c r="L14" s="22"/>
      <c r="M14" s="109"/>
      <c r="N14" s="108"/>
      <c r="O14" s="110"/>
      <c r="P14" s="22"/>
      <c r="Q14" s="109"/>
      <c r="R14" s="109"/>
    </row>
    <row r="15" spans="1:20" s="94" customFormat="1" ht="19.5" customHeight="1">
      <c r="A15" s="26"/>
      <c r="B15" s="23" t="s">
        <v>123</v>
      </c>
      <c r="C15" s="111">
        <f>SUM(C7:C14)</f>
        <v>12968</v>
      </c>
      <c r="D15" s="112">
        <f>+'Коэф.масшт.'!D13</f>
        <v>0.6799999999999999</v>
      </c>
      <c r="E15" s="109">
        <f>((C15*D15/C15)/(C15*D15/C15))*'Расчет доли '!G5/100</f>
        <v>0.1409739068243493</v>
      </c>
      <c r="F15" s="113">
        <f>SUM(F7:F14)</f>
        <v>12968</v>
      </c>
      <c r="G15" s="110">
        <f>'Коэф.дисп'!D39</f>
        <v>1.33775447254781</v>
      </c>
      <c r="H15" s="112">
        <f>+'Коэф.масшт.'!D13</f>
        <v>0.6799999999999999</v>
      </c>
      <c r="I15" s="109">
        <f>((F15*G15*H15/F15)/(F15*G15*H15/F15))*'Расчет доли '!G7/100</f>
        <v>0.08452958981510555</v>
      </c>
      <c r="J15" s="113">
        <f>SUM(J7:J14)</f>
        <v>12968</v>
      </c>
      <c r="K15" s="114">
        <f>+G15</f>
        <v>1.33775447254781</v>
      </c>
      <c r="L15" s="22">
        <f>+'Коэф.масшт.'!D13</f>
        <v>0.6799999999999999</v>
      </c>
      <c r="M15" s="109">
        <f>(J15*K15*L15/J15)/(J15*K15*L15/J15)*'Расчет доли '!G6/100</f>
        <v>0.4853435079868858</v>
      </c>
      <c r="N15" s="113">
        <f>SUM(N7:N14)</f>
        <v>12968</v>
      </c>
      <c r="O15" s="114">
        <f>+G15</f>
        <v>1.33775447254781</v>
      </c>
      <c r="P15" s="112">
        <f>'Коэф.масшт.'!D13</f>
        <v>0.6799999999999999</v>
      </c>
      <c r="Q15" s="109">
        <f>(O15*P15)/(O15*P15)*'Расчет доли '!G8/100</f>
        <v>0.28915299537365924</v>
      </c>
      <c r="R15" s="109">
        <f>+E15+I15+M15+Q15</f>
        <v>0.9999999999999999</v>
      </c>
      <c r="T15" s="115"/>
    </row>
  </sheetData>
  <sheetProtection selectLockedCells="1" selectUnlockedCells="1"/>
  <mergeCells count="8">
    <mergeCell ref="A2:R2"/>
    <mergeCell ref="A4:A5"/>
    <mergeCell ref="B4:B5"/>
    <mergeCell ref="C4:E4"/>
    <mergeCell ref="F4:I4"/>
    <mergeCell ref="J4:M4"/>
    <mergeCell ref="N4:Q4"/>
    <mergeCell ref="R4:R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0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3.875" style="116" customWidth="1"/>
    <col min="2" max="2" width="12.875" style="116" customWidth="1"/>
    <col min="3" max="3" width="12.875" style="117" customWidth="1"/>
    <col min="4" max="4" width="12.875" style="118" customWidth="1"/>
    <col min="5" max="5" width="12.875" style="116" customWidth="1"/>
    <col min="6" max="6" width="12.875" style="117" customWidth="1"/>
    <col min="7" max="7" width="12.875" style="118" customWidth="1"/>
    <col min="8" max="10" width="12.875" style="116" customWidth="1"/>
    <col min="11" max="11" width="9.00390625" style="116" hidden="1" customWidth="1"/>
    <col min="12" max="12" width="9.125" style="116" customWidth="1"/>
  </cols>
  <sheetData>
    <row r="1" ht="18" customHeight="1">
      <c r="I1" s="116" t="s">
        <v>124</v>
      </c>
    </row>
    <row r="2" spans="1:12" ht="60" customHeight="1">
      <c r="A2" s="265" t="s">
        <v>192</v>
      </c>
      <c r="B2" s="265"/>
      <c r="C2" s="265"/>
      <c r="D2" s="265"/>
      <c r="E2" s="265"/>
      <c r="F2" s="265"/>
      <c r="G2" s="265"/>
      <c r="H2" s="265"/>
      <c r="I2" s="265"/>
      <c r="J2" s="265"/>
      <c r="K2" s="119"/>
      <c r="L2" s="119"/>
    </row>
    <row r="3" spans="2:13" ht="32.25" customHeight="1">
      <c r="B3" s="266" t="s">
        <v>125</v>
      </c>
      <c r="C3" s="266"/>
      <c r="D3" s="266"/>
      <c r="E3" s="266" t="s">
        <v>126</v>
      </c>
      <c r="F3" s="266"/>
      <c r="G3" s="266"/>
      <c r="H3" s="266" t="s">
        <v>127</v>
      </c>
      <c r="I3" s="266"/>
      <c r="J3" s="266"/>
      <c r="K3" s="120"/>
      <c r="L3" s="120"/>
      <c r="M3" s="121"/>
    </row>
    <row r="4" spans="1:12" ht="121.5" customHeight="1">
      <c r="A4" s="122" t="s">
        <v>3</v>
      </c>
      <c r="B4" s="123" t="s">
        <v>128</v>
      </c>
      <c r="C4" s="124" t="s">
        <v>129</v>
      </c>
      <c r="D4" s="125" t="s">
        <v>130</v>
      </c>
      <c r="E4" s="123" t="s">
        <v>128</v>
      </c>
      <c r="F4" s="124" t="s">
        <v>129</v>
      </c>
      <c r="G4" s="125" t="s">
        <v>131</v>
      </c>
      <c r="H4" s="97" t="s">
        <v>128</v>
      </c>
      <c r="I4" s="126" t="s">
        <v>129</v>
      </c>
      <c r="J4" s="127" t="s">
        <v>130</v>
      </c>
      <c r="K4" s="128" t="s">
        <v>91</v>
      </c>
      <c r="L4" s="129"/>
    </row>
    <row r="5" spans="1:12" ht="12.75">
      <c r="A5" s="106">
        <v>1</v>
      </c>
      <c r="B5" s="106">
        <v>2</v>
      </c>
      <c r="C5" s="130">
        <v>3</v>
      </c>
      <c r="D5" s="131">
        <v>4</v>
      </c>
      <c r="E5" s="106"/>
      <c r="F5" s="130"/>
      <c r="G5" s="131"/>
      <c r="H5" s="36"/>
      <c r="I5" s="36"/>
      <c r="J5" s="36"/>
      <c r="K5" s="132"/>
      <c r="L5" s="132"/>
    </row>
    <row r="6" spans="1:13" ht="16.5" customHeight="1">
      <c r="A6" s="8" t="s">
        <v>11</v>
      </c>
      <c r="B6" s="133">
        <f>ИДП!D5</f>
        <v>1.1304240270031356</v>
      </c>
      <c r="C6" s="133">
        <f>+ИБР!R7</f>
        <v>1.1208573541743134</v>
      </c>
      <c r="D6" s="134">
        <f>B6/C6</f>
        <v>1.0085351385644157</v>
      </c>
      <c r="E6" s="133">
        <f>ИДП!G5</f>
        <v>1.1156267234739459</v>
      </c>
      <c r="F6" s="133">
        <f>ИБР!R7</f>
        <v>1.1208573541743134</v>
      </c>
      <c r="G6" s="134">
        <f>E6/F6</f>
        <v>0.9953333663013517</v>
      </c>
      <c r="H6" s="133">
        <f>ИДП!J5</f>
        <v>1.026832291915697</v>
      </c>
      <c r="I6" s="133">
        <f>ИБР!R7</f>
        <v>1.1208573541743134</v>
      </c>
      <c r="J6" s="134">
        <f>H6/I6</f>
        <v>0.9161132664130301</v>
      </c>
      <c r="K6" s="135">
        <v>1.228</v>
      </c>
      <c r="L6" s="136"/>
      <c r="M6" s="137"/>
    </row>
    <row r="7" spans="1:13" ht="17.25" customHeight="1">
      <c r="A7" s="8" t="s">
        <v>12</v>
      </c>
      <c r="B7" s="133">
        <f>ИДП!D6</f>
        <v>0.5572671430631434</v>
      </c>
      <c r="C7" s="133">
        <f>+ИБР!R8</f>
        <v>1.1671505112675504</v>
      </c>
      <c r="D7" s="134">
        <f>B7/C7</f>
        <v>0.47745953729475676</v>
      </c>
      <c r="E7" s="133">
        <f>ИДП!G6</f>
        <v>0.5711923708585431</v>
      </c>
      <c r="F7" s="133">
        <f>ИБР!R8</f>
        <v>1.1671505112675504</v>
      </c>
      <c r="G7" s="134">
        <f>E7/F7</f>
        <v>0.48939049877827323</v>
      </c>
      <c r="H7" s="133">
        <f>ИДП!J6</f>
        <v>0.6202325064432068</v>
      </c>
      <c r="I7" s="133">
        <f>ИБР!R8</f>
        <v>1.1671505112675504</v>
      </c>
      <c r="J7" s="134">
        <f>H7/I7</f>
        <v>0.531407475261799</v>
      </c>
      <c r="K7" s="135">
        <v>0.336</v>
      </c>
      <c r="L7" s="136"/>
      <c r="M7" s="137"/>
    </row>
    <row r="8" spans="1:13" ht="15.75" customHeight="1">
      <c r="A8" s="8" t="s">
        <v>13</v>
      </c>
      <c r="B8" s="133">
        <f>ИДП!D7</f>
        <v>1.5320093272029796</v>
      </c>
      <c r="C8" s="133">
        <f>+ИБР!R9</f>
        <v>2.6408061944177765</v>
      </c>
      <c r="D8" s="134">
        <f>B8/C8</f>
        <v>0.5801294053465156</v>
      </c>
      <c r="E8" s="133">
        <f>ИДП!G7</f>
        <v>1.5358276482920576</v>
      </c>
      <c r="F8" s="133">
        <f>ИБР!R9</f>
        <v>2.6408061944177765</v>
      </c>
      <c r="G8" s="134">
        <f>E8/F8</f>
        <v>0.5815752975506271</v>
      </c>
      <c r="H8" s="133">
        <f>ИДП!J7</f>
        <v>1.588451257211636</v>
      </c>
      <c r="I8" s="133">
        <f>ИБР!R9</f>
        <v>2.6408061944177765</v>
      </c>
      <c r="J8" s="134">
        <f>H8/I8</f>
        <v>0.6015023974759515</v>
      </c>
      <c r="K8" s="135">
        <v>0.214</v>
      </c>
      <c r="L8" s="136"/>
      <c r="M8" s="137"/>
    </row>
    <row r="9" spans="1:13" ht="17.25" customHeight="1">
      <c r="A9" s="8" t="s">
        <v>14</v>
      </c>
      <c r="B9" s="133">
        <f>ИДП!D8</f>
        <v>1.0654150504267752</v>
      </c>
      <c r="C9" s="133">
        <f>+ИБР!R10</f>
        <v>1.612989914422426</v>
      </c>
      <c r="D9" s="134">
        <f>B9/C9</f>
        <v>0.6605218302361645</v>
      </c>
      <c r="E9" s="133">
        <f>ИДП!G8</f>
        <v>1.0514687174498238</v>
      </c>
      <c r="F9" s="133">
        <f>ИБР!R10</f>
        <v>1.612989914422426</v>
      </c>
      <c r="G9" s="134">
        <f>E9/F9</f>
        <v>0.6518755685005818</v>
      </c>
      <c r="H9" s="133">
        <f>ИДП!J8</f>
        <v>1.05643886472406</v>
      </c>
      <c r="I9" s="133">
        <f>ИБР!R10</f>
        <v>1.612989914422426</v>
      </c>
      <c r="J9" s="134">
        <f>H9/I9</f>
        <v>0.6549568941987749</v>
      </c>
      <c r="K9" s="135">
        <v>0.341</v>
      </c>
      <c r="L9" s="136"/>
      <c r="M9" s="137"/>
    </row>
    <row r="10" spans="1:13" ht="18" customHeight="1">
      <c r="A10" s="8" t="s">
        <v>15</v>
      </c>
      <c r="B10" s="133">
        <f>ИДП!D9</f>
        <v>0.8649250634783332</v>
      </c>
      <c r="C10" s="133">
        <f>+ИБР!R11</f>
        <v>1.9840610250868358</v>
      </c>
      <c r="D10" s="134">
        <f>B10/C10</f>
        <v>0.43593672399289146</v>
      </c>
      <c r="E10" s="133">
        <f>ИДП!G9</f>
        <v>0.8970101912514811</v>
      </c>
      <c r="F10" s="133">
        <f>ИБР!R11</f>
        <v>1.9840610250868358</v>
      </c>
      <c r="G10" s="134">
        <f>E10/F10</f>
        <v>0.4521081659835649</v>
      </c>
      <c r="H10" s="133">
        <f>ИДП!J9</f>
        <v>0.9980996749462387</v>
      </c>
      <c r="I10" s="133">
        <f>ИБР!R11</f>
        <v>1.9840610250868358</v>
      </c>
      <c r="J10" s="134">
        <f>H10/I10</f>
        <v>0.5030589595411035</v>
      </c>
      <c r="K10" s="135">
        <v>0.267</v>
      </c>
      <c r="L10" s="136"/>
      <c r="M10" s="137"/>
    </row>
    <row r="11" spans="1:13" ht="18.75" customHeight="1">
      <c r="A11" s="8"/>
      <c r="B11" s="133"/>
      <c r="C11" s="133"/>
      <c r="D11" s="134"/>
      <c r="E11" s="133"/>
      <c r="F11" s="133"/>
      <c r="G11" s="134"/>
      <c r="H11" s="133"/>
      <c r="I11" s="133"/>
      <c r="J11" s="134"/>
      <c r="K11" s="135">
        <v>0.347</v>
      </c>
      <c r="L11" s="136"/>
      <c r="M11" s="137"/>
    </row>
    <row r="12" spans="1:13" ht="18" customHeight="1" hidden="1">
      <c r="A12" s="8"/>
      <c r="B12" s="133"/>
      <c r="C12" s="133"/>
      <c r="D12" s="134"/>
      <c r="E12" s="133"/>
      <c r="F12" s="133"/>
      <c r="G12" s="134"/>
      <c r="H12" s="133"/>
      <c r="I12" s="133"/>
      <c r="J12" s="134"/>
      <c r="K12" s="135">
        <v>0.285</v>
      </c>
      <c r="L12" s="136"/>
      <c r="M12" s="137"/>
    </row>
    <row r="13" spans="1:13" ht="28.5" customHeight="1" hidden="1">
      <c r="A13" s="8"/>
      <c r="B13" s="133"/>
      <c r="C13" s="133"/>
      <c r="D13" s="134"/>
      <c r="E13" s="133"/>
      <c r="F13" s="133"/>
      <c r="G13" s="134"/>
      <c r="H13" s="133"/>
      <c r="I13" s="133"/>
      <c r="J13" s="134"/>
      <c r="K13" s="135">
        <v>0.281</v>
      </c>
      <c r="L13" s="136"/>
      <c r="M13" s="137"/>
    </row>
    <row r="14" spans="1:12" ht="18.75" customHeight="1">
      <c r="A14" s="138" t="s">
        <v>123</v>
      </c>
      <c r="B14" s="134"/>
      <c r="C14" s="133"/>
      <c r="D14" s="134"/>
      <c r="E14" s="133"/>
      <c r="F14" s="133"/>
      <c r="G14" s="134"/>
      <c r="H14" s="133"/>
      <c r="I14" s="133"/>
      <c r="J14" s="133"/>
      <c r="K14" s="139"/>
      <c r="L14" s="140"/>
    </row>
    <row r="15" spans="1:12" ht="24" customHeight="1">
      <c r="A15" s="141" t="s">
        <v>132</v>
      </c>
      <c r="B15" s="142"/>
      <c r="C15" s="142"/>
      <c r="D15" s="143">
        <f>(D6+D9+D7+D8)/4</f>
        <v>0.681661477860463</v>
      </c>
      <c r="E15" s="142"/>
      <c r="F15" s="142"/>
      <c r="G15" s="143">
        <f>(G6+G10)/2</f>
        <v>0.7237207661424583</v>
      </c>
      <c r="H15" s="142"/>
      <c r="I15" s="142"/>
      <c r="J15" s="143"/>
      <c r="K15" s="118"/>
      <c r="L15" s="118"/>
    </row>
    <row r="16" spans="1:5" ht="18.75" customHeight="1">
      <c r="A16" s="267"/>
      <c r="B16" s="267"/>
      <c r="C16" s="267"/>
      <c r="D16" s="142">
        <f>+(D6+D10)/2</f>
        <v>0.7222359312786536</v>
      </c>
      <c r="E16" s="144"/>
    </row>
  </sheetData>
  <sheetProtection selectLockedCells="1" selectUnlockedCells="1"/>
  <mergeCells count="5">
    <mergeCell ref="A2:J2"/>
    <mergeCell ref="B3:D3"/>
    <mergeCell ref="E3:G3"/>
    <mergeCell ref="H3:J3"/>
    <mergeCell ref="A16:C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6" sqref="K26"/>
    </sheetView>
  </sheetViews>
  <sheetFormatPr defaultColWidth="9.00390625" defaultRowHeight="12.75"/>
  <cols>
    <col min="1" max="1" width="4.625" style="1" customWidth="1"/>
    <col min="2" max="2" width="21.875" style="1" customWidth="1"/>
    <col min="3" max="3" width="10.25390625" style="1" customWidth="1"/>
    <col min="4" max="4" width="9.875" style="1" customWidth="1"/>
    <col min="5" max="5" width="12.125" style="1" customWidth="1"/>
    <col min="6" max="6" width="10.375" style="1" customWidth="1"/>
    <col min="7" max="7" width="9.125" style="1" customWidth="1"/>
    <col min="8" max="8" width="11.75390625" style="1" customWidth="1"/>
    <col min="9" max="9" width="10.25390625" style="1" customWidth="1"/>
    <col min="10" max="13" width="9.125" style="1" customWidth="1"/>
    <col min="14" max="14" width="10.75390625" style="1" customWidth="1"/>
    <col min="15" max="16384" width="9.125" style="1" customWidth="1"/>
  </cols>
  <sheetData>
    <row r="1" ht="12.75">
      <c r="L1" s="1" t="s">
        <v>133</v>
      </c>
    </row>
    <row r="2" spans="1:14" ht="12.75" customHeight="1">
      <c r="A2" s="268" t="s">
        <v>199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33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5" spans="1:14" ht="25.5" customHeight="1">
      <c r="A5" s="269" t="s">
        <v>2</v>
      </c>
      <c r="B5" s="269" t="s">
        <v>3</v>
      </c>
      <c r="C5" s="270" t="s">
        <v>134</v>
      </c>
      <c r="D5" s="270"/>
      <c r="E5" s="270"/>
      <c r="F5" s="270" t="s">
        <v>135</v>
      </c>
      <c r="G5" s="270"/>
      <c r="H5" s="270"/>
      <c r="I5" s="270"/>
      <c r="J5" s="270" t="s">
        <v>136</v>
      </c>
      <c r="K5" s="270"/>
      <c r="L5" s="270"/>
      <c r="M5" s="270"/>
      <c r="N5" s="270"/>
    </row>
    <row r="6" spans="1:15" ht="63.75">
      <c r="A6" s="269"/>
      <c r="B6" s="269"/>
      <c r="C6" s="146" t="s">
        <v>137</v>
      </c>
      <c r="D6" s="16" t="s">
        <v>138</v>
      </c>
      <c r="E6" s="17" t="s">
        <v>139</v>
      </c>
      <c r="F6" s="146" t="s">
        <v>137</v>
      </c>
      <c r="G6" s="145" t="s">
        <v>138</v>
      </c>
      <c r="H6" s="16" t="s">
        <v>140</v>
      </c>
      <c r="I6" s="17" t="s">
        <v>139</v>
      </c>
      <c r="J6" s="146" t="s">
        <v>137</v>
      </c>
      <c r="K6" s="16" t="s">
        <v>138</v>
      </c>
      <c r="L6" s="145" t="s">
        <v>140</v>
      </c>
      <c r="M6" s="145" t="s">
        <v>141</v>
      </c>
      <c r="N6" s="17" t="s">
        <v>139</v>
      </c>
      <c r="O6" s="147"/>
    </row>
    <row r="7" spans="1:14" s="151" customFormat="1" ht="12.75">
      <c r="A7" s="148">
        <v>1</v>
      </c>
      <c r="B7" s="148">
        <v>2</v>
      </c>
      <c r="C7" s="149">
        <v>3</v>
      </c>
      <c r="D7" s="150"/>
      <c r="E7" s="150"/>
      <c r="F7" s="149">
        <v>3</v>
      </c>
      <c r="G7" s="148"/>
      <c r="H7" s="150"/>
      <c r="I7" s="150"/>
      <c r="J7" s="149">
        <v>3</v>
      </c>
      <c r="K7" s="150"/>
      <c r="L7" s="148"/>
      <c r="M7" s="148"/>
      <c r="N7" s="150"/>
    </row>
    <row r="8" spans="1:14" ht="25.5">
      <c r="A8" s="7">
        <v>1</v>
      </c>
      <c r="B8" s="8" t="s">
        <v>11</v>
      </c>
      <c r="C8" s="152">
        <f>'Налоговый потен'!L7</f>
        <v>8916.439866369958</v>
      </c>
      <c r="D8" s="152">
        <f>'субв от числ уточ'!D6</f>
        <v>1722.6362519278225</v>
      </c>
      <c r="E8" s="152">
        <f>+C8+D8</f>
        <v>10639.07611829778</v>
      </c>
      <c r="F8" s="152">
        <f>+C8</f>
        <v>8916.439866369958</v>
      </c>
      <c r="G8" s="153">
        <f>D8</f>
        <v>1722.6362519278225</v>
      </c>
      <c r="H8" s="152">
        <f>'Дотац 4000'!J6</f>
        <v>0</v>
      </c>
      <c r="I8" s="152">
        <f>F8+G8+H8</f>
        <v>10639.07611829778</v>
      </c>
      <c r="J8" s="152">
        <f>'Налоговый потен'!L7</f>
        <v>8916.439866369958</v>
      </c>
      <c r="K8" s="152">
        <f>'субв от числ уточ'!D6</f>
        <v>1722.6362519278225</v>
      </c>
      <c r="L8" s="153">
        <f>'Дотац 4000'!J6</f>
        <v>0</v>
      </c>
      <c r="M8" s="153">
        <f>'Дотац 4000'!N6</f>
        <v>8.63959053011374</v>
      </c>
      <c r="N8" s="152">
        <f>J8+L8+K8+M8</f>
        <v>10647.715708827895</v>
      </c>
    </row>
    <row r="9" spans="1:14" ht="25.5">
      <c r="A9" s="7">
        <v>2</v>
      </c>
      <c r="B9" s="8" t="s">
        <v>12</v>
      </c>
      <c r="C9" s="152">
        <f>'Налоговый потен'!L8</f>
        <v>2406.0980938273306</v>
      </c>
      <c r="D9" s="152">
        <f>'субв от числ уточ'!D7</f>
        <v>1176.797599090068</v>
      </c>
      <c r="E9" s="152">
        <f>+C9+D9</f>
        <v>3582.8956929173983</v>
      </c>
      <c r="F9" s="152">
        <f>C9</f>
        <v>2406.0980938273306</v>
      </c>
      <c r="G9" s="153">
        <f>D9</f>
        <v>1176.797599090068</v>
      </c>
      <c r="H9" s="152">
        <f>'Дотац 4000'!J7</f>
        <v>138.24076844015528</v>
      </c>
      <c r="I9" s="152">
        <f>F9+G9+H9</f>
        <v>3721.1364613575533</v>
      </c>
      <c r="J9" s="152">
        <f>'Налоговый потен'!L8</f>
        <v>2406.0980938273306</v>
      </c>
      <c r="K9" s="152">
        <f>'субв от числ уточ'!D7</f>
        <v>1176.797599090068</v>
      </c>
      <c r="L9" s="153">
        <f>'Дотац 4000'!J7</f>
        <v>138.24076844015528</v>
      </c>
      <c r="M9" s="153">
        <f>'Дотац 4000'!N7</f>
        <v>672.4547239171039</v>
      </c>
      <c r="N9" s="152">
        <f>J9+L9+K9+M9</f>
        <v>4393.591185274658</v>
      </c>
    </row>
    <row r="10" spans="1:14" ht="25.5">
      <c r="A10" s="7">
        <v>3</v>
      </c>
      <c r="B10" s="8" t="s">
        <v>13</v>
      </c>
      <c r="C10" s="152">
        <f>'Налоговый потен'!L9</f>
        <v>4422.357516240549</v>
      </c>
      <c r="D10" s="152">
        <f>'субв от числ уточ'!D8</f>
        <v>600.0408127698951</v>
      </c>
      <c r="E10" s="152">
        <f>+C10+D10</f>
        <v>5022.398329010443</v>
      </c>
      <c r="F10" s="152">
        <f>C10</f>
        <v>4422.357516240549</v>
      </c>
      <c r="G10" s="153">
        <f>D10</f>
        <v>600.0408127698951</v>
      </c>
      <c r="H10" s="152">
        <f>'Дотац 4000'!J8</f>
        <v>79.29909080229316</v>
      </c>
      <c r="I10" s="152">
        <f>F10+G10+H10</f>
        <v>5101.697419812736</v>
      </c>
      <c r="J10" s="152">
        <f>'Налоговый потен'!L9</f>
        <v>4422.357516240549</v>
      </c>
      <c r="K10" s="152">
        <f>'субв от числ уточ'!D8</f>
        <v>600.0408127698951</v>
      </c>
      <c r="L10" s="153">
        <f>'Дотац 4000'!J8</f>
        <v>79.29909080229316</v>
      </c>
      <c r="M10" s="153">
        <f>'Дотац 4000'!N8</f>
        <v>635.7409044449987</v>
      </c>
      <c r="N10" s="152">
        <f>J10+L10+K10+M10</f>
        <v>5737.438324257735</v>
      </c>
    </row>
    <row r="11" spans="1:14" ht="25.5">
      <c r="A11" s="7">
        <v>4</v>
      </c>
      <c r="B11" s="8" t="s">
        <v>14</v>
      </c>
      <c r="C11" s="152">
        <f>'Налоговый потен'!L10</f>
        <v>4160.582023336344</v>
      </c>
      <c r="D11" s="152">
        <f>'субв от числ уточ'!D9</f>
        <v>863.0358000462677</v>
      </c>
      <c r="E11" s="152">
        <f>+C11+D11</f>
        <v>5023.617823382611</v>
      </c>
      <c r="F11" s="152">
        <f>C11</f>
        <v>4160.582023336344</v>
      </c>
      <c r="G11" s="153">
        <f>D11</f>
        <v>863.0358000462677</v>
      </c>
      <c r="H11" s="152">
        <f>'Дотац 4000'!J9</f>
        <v>0</v>
      </c>
      <c r="I11" s="152">
        <f>F11+G11+H11</f>
        <v>5023.617823382611</v>
      </c>
      <c r="J11" s="152">
        <f>'Налоговый потен'!L10</f>
        <v>4160.582023336344</v>
      </c>
      <c r="K11" s="152">
        <f>'субв от числ уточ'!D9</f>
        <v>863.0358000462677</v>
      </c>
      <c r="L11" s="153">
        <f>'Дотац 4000'!J9</f>
        <v>0</v>
      </c>
      <c r="M11" s="153">
        <f>'Дотац 4000'!N9</f>
        <v>464.6655605838037</v>
      </c>
      <c r="N11" s="152">
        <f>J11+L11+K11+M11</f>
        <v>5488.283383966415</v>
      </c>
    </row>
    <row r="12" spans="1:14" ht="24.75" customHeight="1">
      <c r="A12" s="7">
        <v>5</v>
      </c>
      <c r="B12" s="8" t="s">
        <v>15</v>
      </c>
      <c r="C12" s="152">
        <f>'Налоговый потен'!L11</f>
        <v>2188.522500225818</v>
      </c>
      <c r="D12" s="152">
        <f>'субв от числ уточ'!D10</f>
        <v>587.4445361659469</v>
      </c>
      <c r="E12" s="152">
        <f>+C12+D12</f>
        <v>2775.967036391765</v>
      </c>
      <c r="F12" s="152">
        <f>C12</f>
        <v>2188.522500225818</v>
      </c>
      <c r="G12" s="153">
        <f>D12</f>
        <v>587.4445361659469</v>
      </c>
      <c r="H12" s="152">
        <f>'Дотац 4000'!J10</f>
        <v>141.16220690978952</v>
      </c>
      <c r="I12" s="152">
        <f>F12+G12+H12</f>
        <v>2917.129243301554</v>
      </c>
      <c r="J12" s="152">
        <f>'Налоговый потен'!L11</f>
        <v>2188.522500225818</v>
      </c>
      <c r="K12" s="152">
        <f>'субв от числ уточ'!D10</f>
        <v>587.4445361659469</v>
      </c>
      <c r="L12" s="153">
        <f>'Дотац 4000'!J10</f>
        <v>141.16220690978952</v>
      </c>
      <c r="M12" s="153">
        <f>'Дотац 4000'!N10</f>
        <v>612.297154371742</v>
      </c>
      <c r="N12" s="152">
        <f>J12+L12+K12+M12</f>
        <v>3529.4263976732964</v>
      </c>
    </row>
    <row r="13" spans="1:14" ht="12.75" hidden="1">
      <c r="A13" s="7"/>
      <c r="B13" s="16"/>
      <c r="C13" s="152"/>
      <c r="D13" s="152"/>
      <c r="E13" s="152"/>
      <c r="F13" s="152"/>
      <c r="G13" s="153"/>
      <c r="H13" s="152"/>
      <c r="I13" s="152"/>
      <c r="J13" s="152"/>
      <c r="K13" s="152"/>
      <c r="L13" s="153"/>
      <c r="M13" s="153"/>
      <c r="N13" s="152"/>
    </row>
    <row r="14" spans="1:14" ht="12.75" hidden="1">
      <c r="A14" s="7"/>
      <c r="B14" s="16"/>
      <c r="C14" s="152"/>
      <c r="D14" s="152"/>
      <c r="E14" s="152"/>
      <c r="F14" s="152"/>
      <c r="G14" s="153"/>
      <c r="H14" s="152"/>
      <c r="I14" s="152"/>
      <c r="J14" s="152"/>
      <c r="K14" s="152"/>
      <c r="L14" s="153"/>
      <c r="M14" s="153"/>
      <c r="N14" s="152"/>
    </row>
    <row r="15" spans="1:14" ht="12.75">
      <c r="A15" s="7"/>
      <c r="B15" s="16"/>
      <c r="C15" s="152"/>
      <c r="D15" s="152"/>
      <c r="E15" s="152"/>
      <c r="F15" s="152"/>
      <c r="G15" s="153"/>
      <c r="H15" s="152"/>
      <c r="I15" s="152"/>
      <c r="J15" s="152"/>
      <c r="K15" s="152"/>
      <c r="L15" s="153"/>
      <c r="M15" s="153"/>
      <c r="N15" s="152"/>
    </row>
    <row r="16" spans="1:14" ht="12.75">
      <c r="A16" s="7"/>
      <c r="B16" s="17" t="s">
        <v>16</v>
      </c>
      <c r="C16" s="154">
        <f aca="true" t="shared" si="0" ref="C16:N16">SUM(C8:C15)</f>
        <v>22094</v>
      </c>
      <c r="D16" s="154">
        <f t="shared" si="0"/>
        <v>4949.955000000001</v>
      </c>
      <c r="E16" s="154">
        <f t="shared" si="0"/>
        <v>27043.954999999998</v>
      </c>
      <c r="F16" s="154">
        <f t="shared" si="0"/>
        <v>22094</v>
      </c>
      <c r="G16" s="154">
        <f t="shared" si="0"/>
        <v>4949.955000000001</v>
      </c>
      <c r="H16" s="154">
        <f t="shared" si="0"/>
        <v>358.702066152238</v>
      </c>
      <c r="I16" s="154">
        <f t="shared" si="0"/>
        <v>27402.657066152235</v>
      </c>
      <c r="J16" s="154">
        <f t="shared" si="0"/>
        <v>22094</v>
      </c>
      <c r="K16" s="154">
        <f t="shared" si="0"/>
        <v>4949.955000000001</v>
      </c>
      <c r="L16" s="154">
        <f t="shared" si="0"/>
        <v>358.702066152238</v>
      </c>
      <c r="M16" s="154">
        <f t="shared" si="0"/>
        <v>2393.7979338477617</v>
      </c>
      <c r="N16" s="154">
        <f t="shared" si="0"/>
        <v>29796.455</v>
      </c>
    </row>
  </sheetData>
  <sheetProtection selectLockedCells="1" selectUnlockedCells="1"/>
  <mergeCells count="6">
    <mergeCell ref="A2:N3"/>
    <mergeCell ref="A5:A6"/>
    <mergeCell ref="B5:B6"/>
    <mergeCell ref="C5:E5"/>
    <mergeCell ref="F5:I5"/>
    <mergeCell ref="J5:N5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21.00390625" style="0" customWidth="1"/>
    <col min="2" max="2" width="13.75390625" style="0" customWidth="1"/>
    <col min="3" max="3" width="12.25390625" style="0" customWidth="1"/>
    <col min="4" max="4" width="14.00390625" style="0" customWidth="1"/>
    <col min="5" max="5" width="9.00390625" style="0" customWidth="1"/>
    <col min="6" max="6" width="11.25390625" style="0" customWidth="1"/>
    <col min="7" max="7" width="14.875" style="0" customWidth="1"/>
    <col min="8" max="8" width="9.00390625" style="0" customWidth="1"/>
    <col min="9" max="9" width="10.125" style="0" customWidth="1"/>
    <col min="10" max="10" width="14.875" style="0" customWidth="1"/>
  </cols>
  <sheetData>
    <row r="1" ht="12.75">
      <c r="I1" t="s">
        <v>142</v>
      </c>
    </row>
    <row r="2" spans="1:10" ht="68.25" customHeight="1">
      <c r="A2" s="271" t="s">
        <v>200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1" ht="39" customHeight="1">
      <c r="A3" s="260" t="s">
        <v>3</v>
      </c>
      <c r="B3" s="264" t="s">
        <v>143</v>
      </c>
      <c r="C3" s="264"/>
      <c r="D3" s="264"/>
      <c r="E3" s="264" t="s">
        <v>144</v>
      </c>
      <c r="F3" s="264"/>
      <c r="G3" s="264"/>
      <c r="H3" s="264" t="s">
        <v>145</v>
      </c>
      <c r="I3" s="264"/>
      <c r="J3" s="264"/>
      <c r="K3" s="121"/>
    </row>
    <row r="4" spans="1:10" ht="76.5" customHeight="1">
      <c r="A4" s="260"/>
      <c r="B4" s="96" t="s">
        <v>120</v>
      </c>
      <c r="C4" s="104" t="s">
        <v>146</v>
      </c>
      <c r="D4" s="155" t="s">
        <v>147</v>
      </c>
      <c r="E4" s="96" t="s">
        <v>120</v>
      </c>
      <c r="F4" s="104" t="s">
        <v>146</v>
      </c>
      <c r="G4" s="155" t="s">
        <v>147</v>
      </c>
      <c r="H4" s="96" t="s">
        <v>120</v>
      </c>
      <c r="I4" s="104" t="s">
        <v>146</v>
      </c>
      <c r="J4" s="155" t="s">
        <v>147</v>
      </c>
    </row>
    <row r="5" spans="1:10" ht="30" customHeight="1">
      <c r="A5" s="8" t="s">
        <v>11</v>
      </c>
      <c r="B5" s="108">
        <v>4513</v>
      </c>
      <c r="C5" s="156">
        <f>+ДП!E8</f>
        <v>10639.07611829778</v>
      </c>
      <c r="D5" s="157">
        <f>(C5/B5)/(C13/B13)</f>
        <v>1.1304240270031356</v>
      </c>
      <c r="E5" s="158">
        <f>B5</f>
        <v>4513</v>
      </c>
      <c r="F5" s="156">
        <f>ДП!I8</f>
        <v>10639.07611829778</v>
      </c>
      <c r="G5" s="157">
        <f>(F5/E5)/(F13/E13)</f>
        <v>1.1156267234739459</v>
      </c>
      <c r="H5" s="108">
        <f>'Коэф.масшт.'!C5</f>
        <v>4513</v>
      </c>
      <c r="I5" s="156">
        <f>ДП!N8</f>
        <v>10647.715708827895</v>
      </c>
      <c r="J5" s="157">
        <f>(I5/H5)/(I13/H13)</f>
        <v>1.026832291915697</v>
      </c>
    </row>
    <row r="6" spans="1:10" ht="24" customHeight="1">
      <c r="A6" s="8" t="s">
        <v>12</v>
      </c>
      <c r="B6" s="108">
        <v>3083</v>
      </c>
      <c r="C6" s="156">
        <f>+ДП!E9</f>
        <v>3582.8956929173983</v>
      </c>
      <c r="D6" s="157">
        <f>(C6/B6)/(C13/B13)</f>
        <v>0.5572671430631434</v>
      </c>
      <c r="E6" s="158">
        <f>B6</f>
        <v>3083</v>
      </c>
      <c r="F6" s="156">
        <f>ДП!I9</f>
        <v>3721.1364613575533</v>
      </c>
      <c r="G6" s="157">
        <f>(F6/E6)/(F13/E13)</f>
        <v>0.5711923708585431</v>
      </c>
      <c r="H6" s="108">
        <f>'Коэф.масшт.'!C6</f>
        <v>3083</v>
      </c>
      <c r="I6" s="156">
        <f>ДП!N9</f>
        <v>4393.591185274658</v>
      </c>
      <c r="J6" s="157">
        <f>(I6/H6)/(I13/H13)</f>
        <v>0.6202325064432068</v>
      </c>
    </row>
    <row r="7" spans="1:10" ht="26.25" customHeight="1">
      <c r="A7" s="8" t="s">
        <v>13</v>
      </c>
      <c r="B7" s="108">
        <v>1572</v>
      </c>
      <c r="C7" s="156">
        <f>+ДП!E10</f>
        <v>5022.398329010443</v>
      </c>
      <c r="D7" s="157">
        <f>(C7/B7)/(C13/B13)</f>
        <v>1.5320093272029796</v>
      </c>
      <c r="E7" s="158">
        <f>B7</f>
        <v>1572</v>
      </c>
      <c r="F7" s="156">
        <f>ДП!I10</f>
        <v>5101.697419812736</v>
      </c>
      <c r="G7" s="157">
        <f>(F7/E7)/(F13/E13)</f>
        <v>1.5358276482920576</v>
      </c>
      <c r="H7" s="108">
        <f>'Коэф.масшт.'!C7</f>
        <v>1572</v>
      </c>
      <c r="I7" s="156">
        <f>ДП!N10</f>
        <v>5737.438324257735</v>
      </c>
      <c r="J7" s="157">
        <f>(I7/H7)/(I13/H13)</f>
        <v>1.588451257211636</v>
      </c>
    </row>
    <row r="8" spans="1:10" ht="29.25" customHeight="1">
      <c r="A8" s="8" t="s">
        <v>14</v>
      </c>
      <c r="B8" s="108">
        <v>2261</v>
      </c>
      <c r="C8" s="156">
        <f>+ДП!E11</f>
        <v>5023.617823382611</v>
      </c>
      <c r="D8" s="157">
        <f>(C8/B8)/(C13/B13)</f>
        <v>1.0654150504267752</v>
      </c>
      <c r="E8" s="158">
        <f>B8</f>
        <v>2261</v>
      </c>
      <c r="F8" s="156">
        <f>ДП!I11</f>
        <v>5023.617823382611</v>
      </c>
      <c r="G8" s="157">
        <f>(F8/E8)/(F13/E13)</f>
        <v>1.0514687174498238</v>
      </c>
      <c r="H8" s="108">
        <f>'Коэф.масшт.'!C8</f>
        <v>2261</v>
      </c>
      <c r="I8" s="156">
        <f>ДП!N11</f>
        <v>5488.283383966415</v>
      </c>
      <c r="J8" s="157">
        <f>(I8/H8)/(I13/H13)</f>
        <v>1.05643886472406</v>
      </c>
    </row>
    <row r="9" spans="1:10" ht="25.5" customHeight="1">
      <c r="A9" s="8" t="s">
        <v>15</v>
      </c>
      <c r="B9" s="108">
        <v>1539</v>
      </c>
      <c r="C9" s="156">
        <f>+ДП!E12</f>
        <v>2775.967036391765</v>
      </c>
      <c r="D9" s="157">
        <f>(C9/B9)/(C13/B13)</f>
        <v>0.8649250634783332</v>
      </c>
      <c r="E9" s="158">
        <f>B9</f>
        <v>1539</v>
      </c>
      <c r="F9" s="156">
        <f>ДП!I12</f>
        <v>2917.129243301554</v>
      </c>
      <c r="G9" s="157">
        <f>(F9/E9)/(F13/E13)</f>
        <v>0.8970101912514811</v>
      </c>
      <c r="H9" s="108">
        <f>'Коэф.масшт.'!C9</f>
        <v>1539</v>
      </c>
      <c r="I9" s="156">
        <f>ДП!N12</f>
        <v>3529.4263976732964</v>
      </c>
      <c r="J9" s="157">
        <f>(I9/H9)/(I13/H13)</f>
        <v>0.9980996749462387</v>
      </c>
    </row>
    <row r="10" spans="1:10" ht="27.75" customHeight="1">
      <c r="A10" s="8"/>
      <c r="B10" s="108"/>
      <c r="C10" s="156"/>
      <c r="D10" s="157"/>
      <c r="E10" s="158"/>
      <c r="F10" s="156"/>
      <c r="G10" s="157"/>
      <c r="H10" s="108"/>
      <c r="I10" s="156"/>
      <c r="J10" s="157"/>
    </row>
    <row r="11" spans="1:10" ht="25.5" customHeight="1">
      <c r="A11" s="8"/>
      <c r="B11" s="108"/>
      <c r="C11" s="156"/>
      <c r="D11" s="157"/>
      <c r="E11" s="158"/>
      <c r="F11" s="156"/>
      <c r="G11" s="157"/>
      <c r="H11" s="108"/>
      <c r="I11" s="156"/>
      <c r="J11" s="157"/>
    </row>
    <row r="12" spans="1:10" ht="26.25" customHeight="1">
      <c r="A12" s="8"/>
      <c r="B12" s="108"/>
      <c r="C12" s="156"/>
      <c r="D12" s="157"/>
      <c r="E12" s="158"/>
      <c r="F12" s="156"/>
      <c r="G12" s="157"/>
      <c r="H12" s="108"/>
      <c r="I12" s="156"/>
      <c r="J12" s="157"/>
    </row>
    <row r="13" spans="1:10" ht="18.75" customHeight="1">
      <c r="A13" s="23" t="s">
        <v>123</v>
      </c>
      <c r="B13" s="111">
        <f>SUM(B5:B12)</f>
        <v>12968</v>
      </c>
      <c r="C13" s="109">
        <f>SUM(C5:C12)</f>
        <v>27043.954999999998</v>
      </c>
      <c r="D13" s="25"/>
      <c r="E13" s="159">
        <f>SUM(E5:E12)</f>
        <v>12968</v>
      </c>
      <c r="F13" s="109">
        <f>SUM(F5:F9)</f>
        <v>27402.657066152235</v>
      </c>
      <c r="G13" s="25"/>
      <c r="H13" s="111">
        <f>SUM(H5:H12)</f>
        <v>12968</v>
      </c>
      <c r="I13" s="109">
        <f>SUM(I5:I9)</f>
        <v>29796.455</v>
      </c>
      <c r="J13" s="25"/>
    </row>
    <row r="15" ht="18.75" customHeight="1"/>
  </sheetData>
  <sheetProtection selectLockedCells="1" selectUnlockedCells="1"/>
  <mergeCells count="5">
    <mergeCell ref="A2:J2"/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L14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12.75390625" style="160" customWidth="1"/>
    <col min="4" max="4" width="15.375" style="40" customWidth="1"/>
    <col min="5" max="6" width="15.375" style="0" customWidth="1"/>
    <col min="7" max="11" width="15.375" style="0" hidden="1" customWidth="1"/>
    <col min="12" max="13" width="9.00390625" style="0" hidden="1" customWidth="1"/>
  </cols>
  <sheetData>
    <row r="1" ht="12.75">
      <c r="F1" t="s">
        <v>148</v>
      </c>
    </row>
    <row r="2" spans="1:10" ht="58.5" customHeight="1">
      <c r="A2" s="247" t="s">
        <v>197</v>
      </c>
      <c r="B2" s="247"/>
      <c r="C2" s="247"/>
      <c r="D2" s="247"/>
      <c r="E2" s="247"/>
      <c r="F2" s="247"/>
      <c r="G2" s="161"/>
      <c r="H2" s="161"/>
      <c r="I2" s="161"/>
      <c r="J2" s="161"/>
    </row>
    <row r="3" spans="1:4" ht="12.75">
      <c r="A3" s="161"/>
      <c r="B3" s="161"/>
      <c r="C3" s="162"/>
      <c r="D3" s="163"/>
    </row>
    <row r="5" spans="1:10" s="168" customFormat="1" ht="51">
      <c r="A5" s="164" t="s">
        <v>2</v>
      </c>
      <c r="B5" s="164" t="s">
        <v>3</v>
      </c>
      <c r="C5" s="165" t="s">
        <v>19</v>
      </c>
      <c r="D5" s="242" t="s">
        <v>149</v>
      </c>
      <c r="E5" s="242" t="s">
        <v>150</v>
      </c>
      <c r="F5" s="242" t="s">
        <v>209</v>
      </c>
      <c r="G5" s="167"/>
      <c r="H5" s="167"/>
      <c r="I5" s="167"/>
      <c r="J5" s="167"/>
    </row>
    <row r="6" spans="1:12" ht="25.5">
      <c r="A6" s="20">
        <v>1</v>
      </c>
      <c r="B6" s="8" t="s">
        <v>11</v>
      </c>
      <c r="C6" s="21">
        <f>'Коэф.масшт.'!C5</f>
        <v>4513</v>
      </c>
      <c r="D6" s="169">
        <f>C6*(D14/C14)</f>
        <v>1722.6362519278225</v>
      </c>
      <c r="E6" s="169">
        <f>C6*(E14/C14)</f>
        <v>1791.681532618754</v>
      </c>
      <c r="F6" s="169">
        <f>E6*(F14/E14)</f>
        <v>1791.681532618754</v>
      </c>
      <c r="G6" s="169">
        <v>2297.61784</v>
      </c>
      <c r="H6" s="169">
        <f aca="true" t="shared" si="0" ref="H6:H14">+G6-D6</f>
        <v>574.9815880721774</v>
      </c>
      <c r="I6" s="169">
        <v>2388.76688</v>
      </c>
      <c r="J6" s="169">
        <f aca="true" t="shared" si="1" ref="J6:J14">+I6-E6</f>
        <v>597.085347381246</v>
      </c>
      <c r="K6" s="169">
        <v>1951.50795</v>
      </c>
      <c r="L6" s="169">
        <f aca="true" t="shared" si="2" ref="L6:L14">+K6-F6</f>
        <v>159.82641738124585</v>
      </c>
    </row>
    <row r="7" spans="1:12" ht="25.5">
      <c r="A7" s="20">
        <v>2</v>
      </c>
      <c r="B7" s="8" t="s">
        <v>12</v>
      </c>
      <c r="C7" s="21">
        <f>'Коэф.масшт.'!C6</f>
        <v>3083</v>
      </c>
      <c r="D7" s="169">
        <f>C7*D14/C14</f>
        <v>1176.797599090068</v>
      </c>
      <c r="E7" s="169">
        <f>C7*(E14/C14)</f>
        <v>1223.9650266039482</v>
      </c>
      <c r="F7" s="169">
        <f>E7*F14/E14</f>
        <v>1223.9650266039482</v>
      </c>
      <c r="G7" s="169">
        <v>2059.88458</v>
      </c>
      <c r="H7" s="169">
        <f t="shared" si="0"/>
        <v>883.086980909932</v>
      </c>
      <c r="I7" s="169">
        <v>2141.60248</v>
      </c>
      <c r="J7" s="169">
        <f t="shared" si="1"/>
        <v>917.6374533960518</v>
      </c>
      <c r="K7" s="169">
        <v>1749.58649</v>
      </c>
      <c r="L7" s="169">
        <f t="shared" si="2"/>
        <v>525.6214633960517</v>
      </c>
    </row>
    <row r="8" spans="1:12" ht="25.5">
      <c r="A8" s="20">
        <v>3</v>
      </c>
      <c r="B8" s="8" t="s">
        <v>13</v>
      </c>
      <c r="C8" s="21">
        <f>'Коэф.масшт.'!C7</f>
        <v>1572</v>
      </c>
      <c r="D8" s="169">
        <f>C8*D14/C14</f>
        <v>600.0408127698951</v>
      </c>
      <c r="E8" s="169">
        <f>C8*(E14/C14)</f>
        <v>624.0911520666256</v>
      </c>
      <c r="F8" s="169">
        <f>E8*F14/E14</f>
        <v>624.0911520666256</v>
      </c>
      <c r="G8" s="169">
        <v>1473.31128</v>
      </c>
      <c r="H8" s="169">
        <f t="shared" si="0"/>
        <v>873.2704672301048</v>
      </c>
      <c r="I8" s="169">
        <v>1531.75917</v>
      </c>
      <c r="J8" s="169">
        <f t="shared" si="1"/>
        <v>907.6680179333745</v>
      </c>
      <c r="K8" s="169">
        <v>1251.37376</v>
      </c>
      <c r="L8" s="169">
        <f t="shared" si="2"/>
        <v>627.2826079333744</v>
      </c>
    </row>
    <row r="9" spans="1:12" ht="25.5">
      <c r="A9" s="20">
        <v>4</v>
      </c>
      <c r="B9" s="8" t="s">
        <v>14</v>
      </c>
      <c r="C9" s="21">
        <f>'Коэф.масшт.'!C8</f>
        <v>2261</v>
      </c>
      <c r="D9" s="169">
        <f>C9*D14/C14</f>
        <v>863.0358000462677</v>
      </c>
      <c r="E9" s="169">
        <f>C9*(E14/C14)</f>
        <v>897.6272867828502</v>
      </c>
      <c r="F9" s="169">
        <f>E9*F14/E14</f>
        <v>897.6272867828502</v>
      </c>
      <c r="G9" s="169">
        <v>588.68962</v>
      </c>
      <c r="H9" s="169">
        <f t="shared" si="0"/>
        <v>-274.3461800462677</v>
      </c>
      <c r="I9" s="169">
        <v>612.04359</v>
      </c>
      <c r="J9" s="169">
        <f t="shared" si="1"/>
        <v>-285.5836967828502</v>
      </c>
      <c r="K9" s="169">
        <v>500.010249</v>
      </c>
      <c r="L9" s="169">
        <f t="shared" si="2"/>
        <v>-397.6170377828502</v>
      </c>
    </row>
    <row r="10" spans="1:12" ht="25.5">
      <c r="A10" s="20">
        <v>5</v>
      </c>
      <c r="B10" s="8" t="s">
        <v>15</v>
      </c>
      <c r="C10" s="21">
        <f>'Коэф.масшт.'!C9</f>
        <v>1539</v>
      </c>
      <c r="D10" s="169">
        <f>C10*D14/C14</f>
        <v>587.4445361659469</v>
      </c>
      <c r="E10" s="169">
        <f>C10*(E14/C14)</f>
        <v>610.9900019278224</v>
      </c>
      <c r="F10" s="169">
        <f>E10*F14/E14</f>
        <v>610.9900019278224</v>
      </c>
      <c r="G10" s="169">
        <v>1475.07488</v>
      </c>
      <c r="H10" s="169">
        <f t="shared" si="0"/>
        <v>887.630343834053</v>
      </c>
      <c r="I10" s="169">
        <v>1533.59274</v>
      </c>
      <c r="J10" s="169">
        <f t="shared" si="1"/>
        <v>922.6027380721777</v>
      </c>
      <c r="K10" s="169">
        <v>1252.8717</v>
      </c>
      <c r="L10" s="169">
        <f t="shared" si="2"/>
        <v>641.8816980721775</v>
      </c>
    </row>
    <row r="11" spans="1:12" ht="12.75">
      <c r="A11" s="20"/>
      <c r="B11" s="8"/>
      <c r="C11" s="21"/>
      <c r="D11" s="169"/>
      <c r="E11" s="169"/>
      <c r="F11" s="169"/>
      <c r="G11" s="169">
        <v>1707.16462</v>
      </c>
      <c r="H11" s="169">
        <f t="shared" si="0"/>
        <v>1707.16462</v>
      </c>
      <c r="I11" s="169">
        <v>1774.88973</v>
      </c>
      <c r="J11" s="169">
        <f t="shared" si="1"/>
        <v>1774.88973</v>
      </c>
      <c r="K11" s="169">
        <v>1449.99976</v>
      </c>
      <c r="L11" s="169">
        <f t="shared" si="2"/>
        <v>1449.99976</v>
      </c>
    </row>
    <row r="12" spans="1:12" ht="12.75">
      <c r="A12" s="20"/>
      <c r="B12" s="8"/>
      <c r="C12" s="21"/>
      <c r="D12" s="169"/>
      <c r="E12" s="169"/>
      <c r="F12" s="169"/>
      <c r="G12" s="169">
        <v>801.02703</v>
      </c>
      <c r="H12" s="169">
        <f t="shared" si="0"/>
        <v>801.02703</v>
      </c>
      <c r="I12" s="169">
        <v>832.80466</v>
      </c>
      <c r="J12" s="169">
        <f t="shared" si="1"/>
        <v>832.80466</v>
      </c>
      <c r="K12" s="169">
        <v>680.361459</v>
      </c>
      <c r="L12" s="169">
        <f t="shared" si="2"/>
        <v>680.361459</v>
      </c>
    </row>
    <row r="13" spans="1:12" ht="12.75">
      <c r="A13" s="20"/>
      <c r="B13" s="8"/>
      <c r="C13" s="21"/>
      <c r="D13" s="169"/>
      <c r="E13" s="169"/>
      <c r="F13" s="169"/>
      <c r="G13" s="169">
        <v>1242.98515</v>
      </c>
      <c r="H13" s="169">
        <f t="shared" si="0"/>
        <v>1242.98515</v>
      </c>
      <c r="I13" s="169">
        <v>1292.29575</v>
      </c>
      <c r="J13" s="169">
        <f t="shared" si="1"/>
        <v>1292.29575</v>
      </c>
      <c r="K13" s="169">
        <v>1055.74363</v>
      </c>
      <c r="L13" s="169">
        <f t="shared" si="2"/>
        <v>1055.74363</v>
      </c>
    </row>
    <row r="14" spans="1:12" ht="12.75">
      <c r="A14" s="20"/>
      <c r="B14" s="23" t="s">
        <v>16</v>
      </c>
      <c r="C14" s="24">
        <f>SUM(C6:C13)</f>
        <v>12968</v>
      </c>
      <c r="D14" s="170">
        <f>4953.2-3.245</f>
        <v>4949.955</v>
      </c>
      <c r="E14" s="170">
        <f>5151.6-3.245</f>
        <v>5148.3550000000005</v>
      </c>
      <c r="F14" s="170">
        <f>5151.6-3.245</f>
        <v>5148.3550000000005</v>
      </c>
      <c r="G14" s="171">
        <f>SUM(G6:G13)</f>
        <v>11645.755</v>
      </c>
      <c r="H14" s="169">
        <f t="shared" si="0"/>
        <v>6695.799999999999</v>
      </c>
      <c r="I14" s="171">
        <f>SUM(I6:I13)</f>
        <v>12107.755000000001</v>
      </c>
      <c r="J14" s="169">
        <f t="shared" si="1"/>
        <v>6959.400000000001</v>
      </c>
      <c r="K14" s="171">
        <f>SUM(K6:K13)</f>
        <v>9891.454997999997</v>
      </c>
      <c r="L14" s="169">
        <f t="shared" si="2"/>
        <v>4743.099997999997</v>
      </c>
    </row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2021-10-19T04:33:35Z</cp:lastPrinted>
  <dcterms:modified xsi:type="dcterms:W3CDTF">2023-03-29T09:55:01Z</dcterms:modified>
  <cp:category/>
  <cp:version/>
  <cp:contentType/>
  <cp:contentStatus/>
</cp:coreProperties>
</file>