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1"/>
  </bookViews>
  <sheets>
    <sheet name="Налоговый потен" sheetId="1" r:id="rId1"/>
    <sheet name="Коэф.масшт." sheetId="2" r:id="rId2"/>
    <sheet name="Коэф.дисп" sheetId="3" r:id="rId3"/>
    <sheet name="Расчет доли " sheetId="4" r:id="rId4"/>
    <sheet name="ИБР" sheetId="5" r:id="rId5"/>
    <sheet name="БО" sheetId="6" r:id="rId6"/>
    <sheet name="ДП" sheetId="7" r:id="rId7"/>
    <sheet name="ИДП" sheetId="8" r:id="rId8"/>
    <sheet name="субв от числ уточ" sheetId="9" r:id="rId9"/>
    <sheet name="Дотац 4000" sheetId="10" r:id="rId10"/>
    <sheet name="РФФПП" sheetId="11" r:id="rId11"/>
    <sheet name="Дотация 2023-2025" sheetId="12" r:id="rId12"/>
    <sheet name="Дотация 2023-2025 (2)" sheetId="13" r:id="rId13"/>
    <sheet name="Лист1" sheetId="14" r:id="rId14"/>
  </sheets>
  <definedNames>
    <definedName name="_xlnm.Print_Area" localSheetId="4">'ИБР'!$A$1:$R$19</definedName>
    <definedName name="_xlnm.Print_Area" localSheetId="2">'Коэф.дисп'!$A$1:$D$116</definedName>
    <definedName name="_xlnm.Print_Area" localSheetId="0">'Налоговый потен'!$A$1:$L$17</definedName>
  </definedNames>
  <calcPr fullCalcOnLoad="1"/>
</workbook>
</file>

<file path=xl/sharedStrings.xml><?xml version="1.0" encoding="utf-8"?>
<sst xmlns="http://schemas.openxmlformats.org/spreadsheetml/2006/main" count="407" uniqueCount="208">
  <si>
    <t>Таблица 1</t>
  </si>
  <si>
    <t>№п/п</t>
  </si>
  <si>
    <t>Наименование поселения</t>
  </si>
  <si>
    <t>НП НДФЛ</t>
  </si>
  <si>
    <t>земельный налог</t>
  </si>
  <si>
    <t>Налог на имущество физ лиц</t>
  </si>
  <si>
    <t>БНпос/БН</t>
  </si>
  <si>
    <t>Новомалыклинское с/поселение</t>
  </si>
  <si>
    <t>Новочеремшанское с/поселение</t>
  </si>
  <si>
    <t>Высококолковское с/поселение</t>
  </si>
  <si>
    <t>Среднеякушкинское с/поселение</t>
  </si>
  <si>
    <t>Среднесантимирское с/поселение</t>
  </si>
  <si>
    <t>ВСЕГО</t>
  </si>
  <si>
    <t>Таблица 2</t>
  </si>
  <si>
    <t>Численность поселения (чел.)</t>
  </si>
  <si>
    <t>Коэффициент масштаба(0,6*числ.пос+0,4*сред числ)/числен посел</t>
  </si>
  <si>
    <t>Всего по району</t>
  </si>
  <si>
    <t xml:space="preserve">Средняя численность </t>
  </si>
  <si>
    <t>Таблица 3</t>
  </si>
  <si>
    <t>№</t>
  </si>
  <si>
    <t>Наименование</t>
  </si>
  <si>
    <t>Коэффициент дисперсности расселения</t>
  </si>
  <si>
    <t>Новомалыклинское сельское поселение</t>
  </si>
  <si>
    <t>с. Новая Малыкла (адм.центр)</t>
  </si>
  <si>
    <t xml:space="preserve">с. Старая Куликовка </t>
  </si>
  <si>
    <t>с. Александровка</t>
  </si>
  <si>
    <t>Станция  Якушка</t>
  </si>
  <si>
    <t>с. Эчкаюн</t>
  </si>
  <si>
    <t>п. Амировка</t>
  </si>
  <si>
    <t>Баткак</t>
  </si>
  <si>
    <t>п. Гимрановка</t>
  </si>
  <si>
    <t>пос. Новый Сантимир</t>
  </si>
  <si>
    <t>пос.Нижняя Тюгальбуга</t>
  </si>
  <si>
    <t>Новочеремшанское сельское поселение</t>
  </si>
  <si>
    <t>с. Новочеремшанск (адм. центр)</t>
  </si>
  <si>
    <t>с. Старая Тюгальбуга</t>
  </si>
  <si>
    <t>с. Вороний Куст</t>
  </si>
  <si>
    <t>Высококолковское сельское поселение</t>
  </si>
  <si>
    <t>с.Высокий Колок ( адм. центр)</t>
  </si>
  <si>
    <t>с. Елховый Куст</t>
  </si>
  <si>
    <t>с. Абдреево</t>
  </si>
  <si>
    <r>
      <rPr>
        <i/>
        <sz val="10"/>
        <rFont val="Arial Cyr"/>
        <family val="2"/>
      </rPr>
      <t>с</t>
    </r>
    <r>
      <rPr>
        <u val="single"/>
        <sz val="10"/>
        <rFont val="Arial Cyr"/>
        <family val="2"/>
      </rPr>
      <t>.</t>
    </r>
    <r>
      <rPr>
        <sz val="10"/>
        <rFont val="Arial Cyr"/>
        <family val="0"/>
      </rPr>
      <t>Новая Куликовка</t>
    </r>
  </si>
  <si>
    <t>с.Новая Бесовка</t>
  </si>
  <si>
    <t>с.Лабитово</t>
  </si>
  <si>
    <t>п.Молот</t>
  </si>
  <si>
    <t>Среднеякушкинское сельское поселение</t>
  </si>
  <si>
    <t>с.Средняя  Якушка (адм.центр)</t>
  </si>
  <si>
    <t>с.Верхняя Якушка</t>
  </si>
  <si>
    <t>с. Нижняя Якушка</t>
  </si>
  <si>
    <t>с.Старая  Малыкла</t>
  </si>
  <si>
    <t>Среднесантимирское сельское поселение</t>
  </si>
  <si>
    <t>с.Средний Сантимир (адм.центр)</t>
  </si>
  <si>
    <t>с. Старая Бесовка</t>
  </si>
  <si>
    <t>с.Старый  Сантимир</t>
  </si>
  <si>
    <t>с.Ивановка</t>
  </si>
  <si>
    <t>Всего по Новомалыклинскому району</t>
  </si>
  <si>
    <t>п.Вислая Дубрава</t>
  </si>
  <si>
    <t>Калмаюрское сельское поселение</t>
  </si>
  <si>
    <t>с.Поповка</t>
  </si>
  <si>
    <t>с.Камышовка</t>
  </si>
  <si>
    <t>с.Коровино</t>
  </si>
  <si>
    <t>с.Уразгильдино</t>
  </si>
  <si>
    <t>с.Андреевка</t>
  </si>
  <si>
    <t>с.Татарский Калмаюр (адм.центр)</t>
  </si>
  <si>
    <t>с.Чувашский Калмаюр</t>
  </si>
  <si>
    <t>Крестово-Городищенское сельское поселение</t>
  </si>
  <si>
    <t>пос.Белая Рыбка</t>
  </si>
  <si>
    <t>Красноярское сельское поселение</t>
  </si>
  <si>
    <t>пос.Колхозный (адм.центр)</t>
  </si>
  <si>
    <t>с.Красный Яр</t>
  </si>
  <si>
    <t>Мирновское сельское поселение</t>
  </si>
  <si>
    <t>пос.Мирный (адм.центр)</t>
  </si>
  <si>
    <t>с.Архангельское</t>
  </si>
  <si>
    <t>пос.Лощина</t>
  </si>
  <si>
    <t>с.Малаевка</t>
  </si>
  <si>
    <t>Белоярское сельское поселение</t>
  </si>
  <si>
    <t>с.Суходол</t>
  </si>
  <si>
    <t>с.Новый Белый Яр (адм.центр)</t>
  </si>
  <si>
    <t>с.Ст.Белый Яр</t>
  </si>
  <si>
    <t>Начальник МУ Управления финансов муниципального образования "Новомалыклинский район"</t>
  </si>
  <si>
    <t>С.В.Леонтьева</t>
  </si>
  <si>
    <t>Исп. Зубенина С.В.</t>
  </si>
  <si>
    <t>Таблица 4</t>
  </si>
  <si>
    <t>2018г.</t>
  </si>
  <si>
    <t>2020г.</t>
  </si>
  <si>
    <t>Всего за 3 года</t>
  </si>
  <si>
    <t>Средняя за 3 года</t>
  </si>
  <si>
    <t>Доля, %</t>
  </si>
  <si>
    <t>Формирование, утверждение, исполнение бюджета</t>
  </si>
  <si>
    <t>ЖКХ</t>
  </si>
  <si>
    <t>Культура</t>
  </si>
  <si>
    <t xml:space="preserve">Прочие расходы </t>
  </si>
  <si>
    <t>Всего расходов</t>
  </si>
  <si>
    <t xml:space="preserve">Фактические расходы за счет собственных средств, кроме КОСГУ 251 </t>
  </si>
  <si>
    <t>Расходы, т.р.</t>
  </si>
  <si>
    <t>2019 год</t>
  </si>
  <si>
    <t>2020 год</t>
  </si>
  <si>
    <t>Итого за 3 года</t>
  </si>
  <si>
    <t>средняя за 3 года</t>
  </si>
  <si>
    <t>Органы местного самоуправления</t>
  </si>
  <si>
    <t>Содержание ЖКХ</t>
  </si>
  <si>
    <t>Содержание объектов культуры</t>
  </si>
  <si>
    <t>Прочие расходы</t>
  </si>
  <si>
    <t>Итого расходов</t>
  </si>
  <si>
    <t>Содержание пожарных депо</t>
  </si>
  <si>
    <t>Таблица 5</t>
  </si>
  <si>
    <t xml:space="preserve">Формирование, утверждение, исполнение бюджета и конторль за исполнением данного бюджета </t>
  </si>
  <si>
    <t>Прочие расходы на решение вопросов местного значения</t>
  </si>
  <si>
    <t>Всего ИБР (гр5+гр9+гр14+гр18)</t>
  </si>
  <si>
    <t>Численность (чел.)</t>
  </si>
  <si>
    <t>Коэффициент масштаба</t>
  </si>
  <si>
    <t>Коэффициент дисперсности</t>
  </si>
  <si>
    <t>ВСЕГО по району</t>
  </si>
  <si>
    <t>Таблица 6</t>
  </si>
  <si>
    <t>с учетом субвенций</t>
  </si>
  <si>
    <t>с учетом субвенций и первой части дотации</t>
  </si>
  <si>
    <t>с учетом первой, второй части дотации и субвенций</t>
  </si>
  <si>
    <t>Индекс доходного потенциала поселений ИДП</t>
  </si>
  <si>
    <t>Индекс бюджетных расходов поселений ИБР</t>
  </si>
  <si>
    <t>Уровень расчетной бюджетной обеспеченности БО1</t>
  </si>
  <si>
    <t>средний уровень расчетной бюджетной обеспеченности У1</t>
  </si>
  <si>
    <t>Таблица 7</t>
  </si>
  <si>
    <t>Доходный потенциал</t>
  </si>
  <si>
    <t>с учетом первой части дотации и субвенций</t>
  </si>
  <si>
    <t>с учетом первой, второй  части дотации и субвенций</t>
  </si>
  <si>
    <t>Налоговый потенциал всего НП</t>
  </si>
  <si>
    <t>субвенции</t>
  </si>
  <si>
    <t xml:space="preserve">Доходный потенциал ДП </t>
  </si>
  <si>
    <t>первая часть дотации</t>
  </si>
  <si>
    <t>вторая часть дотации</t>
  </si>
  <si>
    <t>Таблица 8</t>
  </si>
  <si>
    <t>с учетом налогового потенциала и  субвенций</t>
  </si>
  <si>
    <t>с учетом налогового потенциала, первой части дотации и субвенций</t>
  </si>
  <si>
    <t>с учетом налогового потенциала, первой, второй части дотации и субвенций</t>
  </si>
  <si>
    <t>Доходный потенциал, тыс.руб. ДП</t>
  </si>
  <si>
    <t>Таблица 9</t>
  </si>
  <si>
    <t>Таблица 10</t>
  </si>
  <si>
    <t>Субвенции из областного бюджета</t>
  </si>
  <si>
    <t>Индекс бюджетных расходов ИБР</t>
  </si>
  <si>
    <t>Уровень бюджетной обеспеченности БО для распределения первой части дотации</t>
  </si>
  <si>
    <t>Объем средств, необходимый для доведения расчетной бюджетной обеспеченности j-го поселения  до среднего уровня расчетной бюджетной обеспеченности (гр4мр/гр3мр)*(У1-гр6)*гр5*гр3</t>
  </si>
  <si>
    <t>Первая часть дотации (гр7*П)</t>
  </si>
  <si>
    <t>Уровень бюджетной обеспеченности БО1 для распределения второй части дотации</t>
  </si>
  <si>
    <t>Прогноз налоговых, неналоговых доходов, субвенций, 1 части дотации ПДпмр</t>
  </si>
  <si>
    <t>Объем средств, необходимый для доведения расчетной бюджетной обеспеченности j-го поселения  до второго среднего уровня расчетной бюджетной обеспеченности Т2j=</t>
  </si>
  <si>
    <t>Вторая часть дотации</t>
  </si>
  <si>
    <t>Всего дотации из местного бюджета на 2018</t>
  </si>
  <si>
    <t>разница 2019-2018</t>
  </si>
  <si>
    <t>разница</t>
  </si>
  <si>
    <t>Всего доходов собственных, дотации из областного и местного бюджета</t>
  </si>
  <si>
    <t>Всего собственных и дотаций 2019г. На 1 человека, руб.</t>
  </si>
  <si>
    <t>Всего налоговый потенциал, дотации на 2019г.</t>
  </si>
  <si>
    <t>Всего налоговый потенциал, дотации на 2019г. На 1 человека, руб.</t>
  </si>
  <si>
    <t>4а</t>
  </si>
  <si>
    <t>средний У1</t>
  </si>
  <si>
    <t>степень отставания 0,1</t>
  </si>
  <si>
    <t>У2</t>
  </si>
  <si>
    <t>Таблица 11</t>
  </si>
  <si>
    <t>Дотация из ОФК</t>
  </si>
  <si>
    <t>Дотация из РФК</t>
  </si>
  <si>
    <t>Всего дотации</t>
  </si>
  <si>
    <t>2021г.</t>
  </si>
  <si>
    <t>2022г.</t>
  </si>
  <si>
    <t>Увеличение   ( + ), уменьшение  ( - )</t>
  </si>
  <si>
    <t>2021 год</t>
  </si>
  <si>
    <t>2022 год</t>
  </si>
  <si>
    <t>Таблица 12</t>
  </si>
  <si>
    <t>тыс.руб.</t>
  </si>
  <si>
    <t>№ п/п</t>
  </si>
  <si>
    <t>Наименование муниципальных образований</t>
  </si>
  <si>
    <t xml:space="preserve">Дотация на выравнивание бюджетной обеспеченности поселений за счет субвенций из областного фонда </t>
  </si>
  <si>
    <t>Дотация на выравнивание бюджетной обеспеченности поселений из бюджета муниципального района</t>
  </si>
  <si>
    <t>2024 год</t>
  </si>
  <si>
    <t>Сумма дотации из субвенций на 2024 год (тыс. руб.)</t>
  </si>
  <si>
    <t>Сумма дотации из субвенций на 2025 год (тыс. руб.)</t>
  </si>
  <si>
    <t>Прогноз собственных доходов на 2023г.</t>
  </si>
  <si>
    <t>Налоговый потенциал на 2023г.</t>
  </si>
  <si>
    <t>Дотация из районного фонда финансовой поддержки поселений, расположенных на территории муниципального образования «Новомалыклинский район» Ульяновской области на 2023 год</t>
  </si>
  <si>
    <t>2023г.</t>
  </si>
  <si>
    <t>Расчет коэффициента масштаба по поселениям, расположенным на территории муниципального образования «Новомалыклинский район» Ульяновской области на 2024 год</t>
  </si>
  <si>
    <t>Количество жителей на 01.01.2023г.</t>
  </si>
  <si>
    <t>Расчет коэффициента дисперсности по поселениям, расположенным на территории муниципального образования «Новомалыклинский район» Ульяновской области на 2024 год</t>
  </si>
  <si>
    <t>Определение доли расходов на 2024г.  исходя из фактического расхода без субвенций и субсидий</t>
  </si>
  <si>
    <t>Расчет дотации из районного фонда финансовой поддержки поселений за счет субвенций из областного фонда компенсаций на 2024-2026 годы</t>
  </si>
  <si>
    <t>Сумма дотации из субвенций на 2026 год (тыс. руб.)</t>
  </si>
  <si>
    <t>Прогнозные показатели дотации на выравнивание бюджетной обеспеченности поселений Новомалыклинского района на 2024-2026 года</t>
  </si>
  <si>
    <t>2025 год</t>
  </si>
  <si>
    <t>2026 год</t>
  </si>
  <si>
    <t>2024г.</t>
  </si>
  <si>
    <t xml:space="preserve"> 2023г.</t>
  </si>
  <si>
    <t xml:space="preserve">НДФЛ план на 01.10.2023г </t>
  </si>
  <si>
    <t>НП ндфл на 2024г. (=ПДпосел конс*Норм*(Бнпос/Бнконс пос)</t>
  </si>
  <si>
    <t xml:space="preserve">Зем налог план на 01.10.2023 </t>
  </si>
  <si>
    <t>НП зем налог на 2024г</t>
  </si>
  <si>
    <t xml:space="preserve">План на 01.10.2023 </t>
  </si>
  <si>
    <t>НП на 2024г.</t>
  </si>
  <si>
    <t>ВСЕГО НП на 2024г.</t>
  </si>
  <si>
    <t>Расчет налогового потенциала поселений, расположенных на территории муниципального образования «Новомалыклинский район район» Ульяновской области на 2024 год</t>
  </si>
  <si>
    <t xml:space="preserve">Расчет индекса бюджетных расходов поселений, расположенных на территории муниципального образования «Новомалыклинский район» Ульяновской области на 2024 год </t>
  </si>
  <si>
    <t xml:space="preserve">Уровень расчетной бюджетной обеспеченности поселений, расположенных на территории муниципального образования «Новомалыклинский район» Ульяновской области на 2024 год </t>
  </si>
  <si>
    <t>Расчет доходного потенциала поселений, расположенных на территории муниципального образования «Новомалыклинский район» Ульяновской области на 2024 год</t>
  </si>
  <si>
    <t>Расчет индекса доходного потенциала поселений, расположенных на территории муниципального образования «Новомалыклинский район» Ульяновской области на 2024 год</t>
  </si>
  <si>
    <t>Всего дотации из местного бюджета на 2024г.</t>
  </si>
  <si>
    <t>Всего дотации из областного и местного бюджетов на 2024г.</t>
  </si>
  <si>
    <t>Расчет дотации из фонда финансовой поддержки поселений, расположенных на территории муниципального образования «Новомалыклинский район» Ульяновской области на 2024 год</t>
  </si>
  <si>
    <t xml:space="preserve">Индекс доходного потенциала ИДП </t>
  </si>
  <si>
    <t xml:space="preserve">Уровень расчетной бюджетной обеспеченности БО </t>
  </si>
  <si>
    <t xml:space="preserve">ИБР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</si>
</sst>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0.000"/>
    <numFmt numFmtId="167" formatCode="#,##0.000"/>
    <numFmt numFmtId="168" formatCode="#,##0.00000"/>
    <numFmt numFmtId="169" formatCode="#,##0.0000"/>
    <numFmt numFmtId="170" formatCode="#,##0.000000"/>
  </numFmts>
  <fonts count="73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37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b/>
      <sz val="11"/>
      <name val="Arial Cyr"/>
      <family val="2"/>
    </font>
    <font>
      <i/>
      <u val="single"/>
      <sz val="10"/>
      <name val="Arial Cyr"/>
      <family val="2"/>
    </font>
    <font>
      <u val="single"/>
      <sz val="10"/>
      <name val="Arial Cyr"/>
      <family val="2"/>
    </font>
    <font>
      <i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0"/>
    </font>
    <font>
      <b/>
      <sz val="12"/>
      <name val="PT Astra Serif"/>
      <family val="1"/>
    </font>
    <font>
      <b/>
      <sz val="14"/>
      <name val="PT Astra Serif"/>
      <family val="1"/>
    </font>
    <font>
      <b/>
      <sz val="10"/>
      <name val="PT Astra Serif"/>
      <family val="1"/>
    </font>
    <font>
      <sz val="12"/>
      <name val="PT Astra Serif"/>
      <family val="1"/>
    </font>
    <font>
      <sz val="10"/>
      <name val="PT Astra Serif"/>
      <family val="1"/>
    </font>
    <font>
      <i/>
      <sz val="12"/>
      <name val="PT Astra Serif"/>
      <family val="1"/>
    </font>
    <font>
      <i/>
      <sz val="12"/>
      <color indexed="10"/>
      <name val="PT Astra Serif"/>
      <family val="1"/>
    </font>
    <font>
      <i/>
      <sz val="10"/>
      <name val="PT Astra Serif"/>
      <family val="1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PT Astra Serif"/>
      <family val="1"/>
    </font>
    <font>
      <sz val="8"/>
      <name val="Arial Cyr"/>
      <family val="0"/>
    </font>
    <font>
      <b/>
      <sz val="8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3" borderId="2" applyNumberFormat="0" applyAlignment="0" applyProtection="0"/>
    <xf numFmtId="0" fontId="59" fillId="34" borderId="3" applyNumberFormat="0" applyAlignment="0" applyProtection="0"/>
    <xf numFmtId="0" fontId="60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35" borderId="8" applyNumberFormat="0" applyAlignment="0" applyProtection="0"/>
    <xf numFmtId="0" fontId="66" fillId="0" borderId="0" applyNumberFormat="0" applyFill="0" applyBorder="0" applyAlignment="0" applyProtection="0"/>
    <xf numFmtId="0" fontId="67" fillId="36" borderId="0" applyNumberFormat="0" applyBorder="0" applyAlignment="0" applyProtection="0"/>
    <xf numFmtId="0" fontId="68" fillId="37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70" fillId="0" borderId="10" applyNumberFormat="0" applyFill="0" applyAlignment="0" applyProtection="0"/>
    <xf numFmtId="0" fontId="7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2" fillId="39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40" borderId="0" xfId="0" applyFill="1" applyAlignment="1">
      <alignment/>
    </xf>
    <xf numFmtId="2" fontId="0" fillId="40" borderId="0" xfId="0" applyNumberFormat="1" applyFill="1" applyAlignment="1">
      <alignment/>
    </xf>
    <xf numFmtId="0" fontId="14" fillId="40" borderId="11" xfId="0" applyFont="1" applyFill="1" applyBorder="1" applyAlignment="1">
      <alignment horizontal="center" vertical="center" wrapText="1"/>
    </xf>
    <xf numFmtId="49" fontId="14" fillId="40" borderId="11" xfId="0" applyNumberFormat="1" applyFont="1" applyFill="1" applyBorder="1" applyAlignment="1">
      <alignment horizontal="center" vertical="center" wrapText="1"/>
    </xf>
    <xf numFmtId="2" fontId="0" fillId="40" borderId="0" xfId="0" applyNumberFormat="1" applyFill="1" applyAlignment="1">
      <alignment horizontal="center" vertical="center" wrapText="1"/>
    </xf>
    <xf numFmtId="0" fontId="0" fillId="40" borderId="0" xfId="0" applyFill="1" applyAlignment="1">
      <alignment horizontal="center" vertical="center" wrapText="1"/>
    </xf>
    <xf numFmtId="0" fontId="0" fillId="40" borderId="11" xfId="0" applyFill="1" applyBorder="1" applyAlignment="1">
      <alignment/>
    </xf>
    <xf numFmtId="0" fontId="0" fillId="0" borderId="11" xfId="0" applyFont="1" applyBorder="1" applyAlignment="1">
      <alignment wrapText="1"/>
    </xf>
    <xf numFmtId="164" fontId="0" fillId="40" borderId="11" xfId="0" applyNumberFormat="1" applyFont="1" applyFill="1" applyBorder="1" applyAlignment="1">
      <alignment/>
    </xf>
    <xf numFmtId="2" fontId="0" fillId="40" borderId="11" xfId="0" applyNumberFormat="1" applyFont="1" applyFill="1" applyBorder="1" applyAlignment="1">
      <alignment/>
    </xf>
    <xf numFmtId="2" fontId="0" fillId="40" borderId="11" xfId="0" applyNumberFormat="1" applyFill="1" applyBorder="1" applyAlignment="1">
      <alignment/>
    </xf>
    <xf numFmtId="165" fontId="0" fillId="40" borderId="11" xfId="0" applyNumberFormat="1" applyFont="1" applyFill="1" applyBorder="1" applyAlignment="1">
      <alignment/>
    </xf>
    <xf numFmtId="2" fontId="14" fillId="40" borderId="1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4" fontId="0" fillId="40" borderId="0" xfId="0" applyNumberFormat="1" applyFill="1" applyAlignment="1">
      <alignment/>
    </xf>
    <xf numFmtId="0" fontId="0" fillId="40" borderId="11" xfId="0" applyFont="1" applyFill="1" applyBorder="1" applyAlignment="1">
      <alignment wrapText="1"/>
    </xf>
    <xf numFmtId="0" fontId="14" fillId="40" borderId="11" xfId="0" applyFont="1" applyFill="1" applyBorder="1" applyAlignment="1">
      <alignment wrapText="1"/>
    </xf>
    <xf numFmtId="164" fontId="14" fillId="40" borderId="1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14" fillId="0" borderId="11" xfId="0" applyFont="1" applyBorder="1" applyAlignment="1">
      <alignment wrapText="1"/>
    </xf>
    <xf numFmtId="1" fontId="14" fillId="0" borderId="11" xfId="0" applyNumberFormat="1" applyFont="1" applyBorder="1" applyAlignment="1">
      <alignment/>
    </xf>
    <xf numFmtId="166" fontId="14" fillId="0" borderId="11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wrapText="1"/>
    </xf>
    <xf numFmtId="2" fontId="14" fillId="0" borderId="11" xfId="0" applyNumberFormat="1" applyFont="1" applyBorder="1" applyAlignment="1">
      <alignment/>
    </xf>
    <xf numFmtId="0" fontId="17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7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7" fillId="0" borderId="11" xfId="0" applyFont="1" applyBorder="1" applyAlignment="1">
      <alignment wrapText="1"/>
    </xf>
    <xf numFmtId="0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2" fontId="0" fillId="0" borderId="0" xfId="0" applyNumberFormat="1" applyAlignment="1">
      <alignment/>
    </xf>
    <xf numFmtId="0" fontId="20" fillId="0" borderId="11" xfId="0" applyFont="1" applyBorder="1" applyAlignment="1">
      <alignment wrapText="1"/>
    </xf>
    <xf numFmtId="2" fontId="20" fillId="0" borderId="11" xfId="0" applyNumberFormat="1" applyFont="1" applyBorder="1" applyAlignment="1">
      <alignment wrapText="1"/>
    </xf>
    <xf numFmtId="0" fontId="21" fillId="0" borderId="11" xfId="0" applyFont="1" applyBorder="1" applyAlignment="1">
      <alignment wrapText="1"/>
    </xf>
    <xf numFmtId="167" fontId="21" fillId="0" borderId="11" xfId="0" applyNumberFormat="1" applyFont="1" applyBorder="1" applyAlignment="1">
      <alignment/>
    </xf>
    <xf numFmtId="164" fontId="21" fillId="0" borderId="11" xfId="0" applyNumberFormat="1" applyFont="1" applyBorder="1" applyAlignment="1">
      <alignment/>
    </xf>
    <xf numFmtId="0" fontId="21" fillId="0" borderId="11" xfId="0" applyFont="1" applyBorder="1" applyAlignment="1">
      <alignment/>
    </xf>
    <xf numFmtId="0" fontId="20" fillId="0" borderId="11" xfId="0" applyFont="1" applyBorder="1" applyAlignment="1">
      <alignment/>
    </xf>
    <xf numFmtId="167" fontId="20" fillId="0" borderId="11" xfId="0" applyNumberFormat="1" applyFont="1" applyBorder="1" applyAlignment="1">
      <alignment/>
    </xf>
    <xf numFmtId="164" fontId="20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0" fontId="0" fillId="40" borderId="0" xfId="0" applyFont="1" applyFill="1" applyAlignment="1">
      <alignment/>
    </xf>
    <xf numFmtId="0" fontId="22" fillId="40" borderId="11" xfId="0" applyFont="1" applyFill="1" applyBorder="1" applyAlignment="1">
      <alignment vertical="center" wrapText="1"/>
    </xf>
    <xf numFmtId="0" fontId="22" fillId="41" borderId="11" xfId="0" applyFont="1" applyFill="1" applyBorder="1" applyAlignment="1">
      <alignment vertical="center" wrapText="1"/>
    </xf>
    <xf numFmtId="0" fontId="22" fillId="41" borderId="12" xfId="0" applyFont="1" applyFill="1" applyBorder="1" applyAlignment="1">
      <alignment vertical="center" wrapText="1"/>
    </xf>
    <xf numFmtId="0" fontId="24" fillId="40" borderId="0" xfId="0" applyFont="1" applyFill="1" applyBorder="1" applyAlignment="1">
      <alignment horizontal="center"/>
    </xf>
    <xf numFmtId="0" fontId="24" fillId="40" borderId="0" xfId="0" applyFont="1" applyFill="1" applyBorder="1" applyAlignment="1">
      <alignment vertical="center" wrapText="1"/>
    </xf>
    <xf numFmtId="0" fontId="25" fillId="40" borderId="11" xfId="0" applyFont="1" applyFill="1" applyBorder="1" applyAlignment="1">
      <alignment wrapText="1"/>
    </xf>
    <xf numFmtId="167" fontId="25" fillId="40" borderId="11" xfId="0" applyNumberFormat="1" applyFont="1" applyFill="1" applyBorder="1" applyAlignment="1">
      <alignment/>
    </xf>
    <xf numFmtId="167" fontId="25" fillId="41" borderId="11" xfId="0" applyNumberFormat="1" applyFont="1" applyFill="1" applyBorder="1" applyAlignment="1">
      <alignment/>
    </xf>
    <xf numFmtId="168" fontId="25" fillId="40" borderId="11" xfId="0" applyNumberFormat="1" applyFont="1" applyFill="1" applyBorder="1" applyAlignment="1">
      <alignment/>
    </xf>
    <xf numFmtId="167" fontId="26" fillId="40" borderId="0" xfId="0" applyNumberFormat="1" applyFont="1" applyFill="1" applyBorder="1" applyAlignment="1">
      <alignment/>
    </xf>
    <xf numFmtId="0" fontId="27" fillId="40" borderId="11" xfId="0" applyFont="1" applyFill="1" applyBorder="1" applyAlignment="1">
      <alignment wrapText="1"/>
    </xf>
    <xf numFmtId="167" fontId="27" fillId="40" borderId="11" xfId="0" applyNumberFormat="1" applyFont="1" applyFill="1" applyBorder="1" applyAlignment="1">
      <alignment/>
    </xf>
    <xf numFmtId="167" fontId="27" fillId="41" borderId="11" xfId="0" applyNumberFormat="1" applyFont="1" applyFill="1" applyBorder="1" applyAlignment="1">
      <alignment/>
    </xf>
    <xf numFmtId="167" fontId="29" fillId="40" borderId="0" xfId="0" applyNumberFormat="1" applyFont="1" applyFill="1" applyBorder="1" applyAlignment="1">
      <alignment/>
    </xf>
    <xf numFmtId="0" fontId="30" fillId="40" borderId="0" xfId="0" applyFont="1" applyFill="1" applyAlignment="1">
      <alignment/>
    </xf>
    <xf numFmtId="0" fontId="22" fillId="40" borderId="11" xfId="0" applyFont="1" applyFill="1" applyBorder="1" applyAlignment="1">
      <alignment wrapText="1"/>
    </xf>
    <xf numFmtId="167" fontId="22" fillId="40" borderId="11" xfId="0" applyNumberFormat="1" applyFont="1" applyFill="1" applyBorder="1" applyAlignment="1">
      <alignment/>
    </xf>
    <xf numFmtId="167" fontId="22" fillId="41" borderId="11" xfId="0" applyNumberFormat="1" applyFont="1" applyFill="1" applyBorder="1" applyAlignment="1">
      <alignment/>
    </xf>
    <xf numFmtId="168" fontId="22" fillId="40" borderId="11" xfId="0" applyNumberFormat="1" applyFont="1" applyFill="1" applyBorder="1" applyAlignment="1">
      <alignment/>
    </xf>
    <xf numFmtId="167" fontId="22" fillId="41" borderId="12" xfId="0" applyNumberFormat="1" applyFont="1" applyFill="1" applyBorder="1" applyAlignment="1">
      <alignment/>
    </xf>
    <xf numFmtId="167" fontId="24" fillId="40" borderId="0" xfId="0" applyNumberFormat="1" applyFont="1" applyFill="1" applyBorder="1" applyAlignment="1">
      <alignment/>
    </xf>
    <xf numFmtId="168" fontId="22" fillId="40" borderId="0" xfId="0" applyNumberFormat="1" applyFont="1" applyFill="1" applyBorder="1" applyAlignment="1">
      <alignment wrapText="1"/>
    </xf>
    <xf numFmtId="168" fontId="0" fillId="40" borderId="0" xfId="0" applyNumberFormat="1" applyFont="1" applyFill="1" applyAlignment="1">
      <alignment/>
    </xf>
    <xf numFmtId="0" fontId="22" fillId="40" borderId="0" xfId="0" applyFont="1" applyFill="1" applyBorder="1" applyAlignment="1">
      <alignment/>
    </xf>
    <xf numFmtId="167" fontId="22" fillId="40" borderId="0" xfId="0" applyNumberFormat="1" applyFont="1" applyFill="1" applyBorder="1" applyAlignment="1">
      <alignment/>
    </xf>
    <xf numFmtId="167" fontId="21" fillId="40" borderId="0" xfId="0" applyNumberFormat="1" applyFont="1" applyFill="1" applyAlignment="1">
      <alignment/>
    </xf>
    <xf numFmtId="167" fontId="21" fillId="40" borderId="13" xfId="0" applyNumberFormat="1" applyFont="1" applyFill="1" applyBorder="1" applyAlignment="1">
      <alignment/>
    </xf>
    <xf numFmtId="167" fontId="21" fillId="40" borderId="0" xfId="0" applyNumberFormat="1" applyFont="1" applyFill="1" applyBorder="1" applyAlignment="1">
      <alignment/>
    </xf>
    <xf numFmtId="167" fontId="21" fillId="40" borderId="14" xfId="0" applyNumberFormat="1" applyFont="1" applyFill="1" applyBorder="1" applyAlignment="1">
      <alignment/>
    </xf>
    <xf numFmtId="167" fontId="0" fillId="40" borderId="0" xfId="0" applyNumberFormat="1" applyFont="1" applyFill="1" applyBorder="1" applyAlignment="1">
      <alignment/>
    </xf>
    <xf numFmtId="0" fontId="31" fillId="40" borderId="0" xfId="0" applyFont="1" applyFill="1" applyAlignment="1">
      <alignment/>
    </xf>
    <xf numFmtId="167" fontId="22" fillId="40" borderId="11" xfId="0" applyNumberFormat="1" applyFont="1" applyFill="1" applyBorder="1" applyAlignment="1">
      <alignment horizontal="center"/>
    </xf>
    <xf numFmtId="167" fontId="22" fillId="40" borderId="11" xfId="0" applyNumberFormat="1" applyFont="1" applyFill="1" applyBorder="1" applyAlignment="1">
      <alignment vertical="center" wrapText="1"/>
    </xf>
    <xf numFmtId="167" fontId="22" fillId="41" borderId="11" xfId="0" applyNumberFormat="1" applyFont="1" applyFill="1" applyBorder="1" applyAlignment="1">
      <alignment vertical="center" wrapText="1"/>
    </xf>
    <xf numFmtId="167" fontId="24" fillId="40" borderId="0" xfId="0" applyNumberFormat="1" applyFont="1" applyFill="1" applyBorder="1" applyAlignment="1">
      <alignment horizontal="center"/>
    </xf>
    <xf numFmtId="167" fontId="24" fillId="40" borderId="0" xfId="0" applyNumberFormat="1" applyFont="1" applyFill="1" applyBorder="1" applyAlignment="1">
      <alignment vertical="center" wrapText="1"/>
    </xf>
    <xf numFmtId="167" fontId="0" fillId="40" borderId="0" xfId="0" applyNumberFormat="1" applyFont="1" applyFill="1" applyAlignment="1">
      <alignment/>
    </xf>
    <xf numFmtId="167" fontId="32" fillId="40" borderId="0" xfId="0" applyNumberFormat="1" applyFont="1" applyFill="1" applyAlignment="1">
      <alignment/>
    </xf>
    <xf numFmtId="167" fontId="30" fillId="40" borderId="0" xfId="0" applyNumberFormat="1" applyFont="1" applyFill="1" applyAlignment="1">
      <alignment/>
    </xf>
    <xf numFmtId="0" fontId="31" fillId="40" borderId="11" xfId="0" applyFont="1" applyFill="1" applyBorder="1" applyAlignment="1">
      <alignment/>
    </xf>
    <xf numFmtId="167" fontId="33" fillId="40" borderId="11" xfId="0" applyNumberFormat="1" applyFont="1" applyFill="1" applyBorder="1" applyAlignment="1">
      <alignment/>
    </xf>
    <xf numFmtId="167" fontId="21" fillId="40" borderId="11" xfId="0" applyNumberFormat="1" applyFont="1" applyFill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0" fontId="34" fillId="0" borderId="11" xfId="0" applyFont="1" applyBorder="1" applyAlignment="1">
      <alignment horizontal="center" wrapText="1"/>
    </xf>
    <xf numFmtId="0" fontId="34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34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 wrapText="1"/>
    </xf>
    <xf numFmtId="166" fontId="35" fillId="0" borderId="11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14" fillId="0" borderId="11" xfId="0" applyNumberFormat="1" applyFont="1" applyFill="1" applyBorder="1" applyAlignment="1">
      <alignment horizontal="center" wrapText="1"/>
    </xf>
    <xf numFmtId="3" fontId="0" fillId="0" borderId="11" xfId="0" applyNumberFormat="1" applyBorder="1" applyAlignment="1">
      <alignment/>
    </xf>
    <xf numFmtId="4" fontId="14" fillId="0" borderId="11" xfId="0" applyNumberFormat="1" applyFont="1" applyBorder="1" applyAlignment="1">
      <alignment/>
    </xf>
    <xf numFmtId="2" fontId="0" fillId="0" borderId="11" xfId="0" applyNumberFormat="1" applyFill="1" applyBorder="1" applyAlignment="1">
      <alignment wrapText="1"/>
    </xf>
    <xf numFmtId="3" fontId="14" fillId="0" borderId="11" xfId="0" applyNumberFormat="1" applyFont="1" applyBorder="1" applyAlignment="1">
      <alignment/>
    </xf>
    <xf numFmtId="2" fontId="14" fillId="0" borderId="11" xfId="0" applyNumberFormat="1" applyFont="1" applyBorder="1" applyAlignment="1">
      <alignment/>
    </xf>
    <xf numFmtId="3" fontId="14" fillId="0" borderId="11" xfId="0" applyNumberFormat="1" applyFont="1" applyFill="1" applyBorder="1" applyAlignment="1">
      <alignment/>
    </xf>
    <xf numFmtId="2" fontId="14" fillId="0" borderId="11" xfId="0" applyNumberFormat="1" applyFont="1" applyFill="1" applyBorder="1" applyAlignment="1">
      <alignment wrapText="1"/>
    </xf>
    <xf numFmtId="2" fontId="14" fillId="0" borderId="0" xfId="0" applyNumberFormat="1" applyFon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166" fontId="14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Alignment="1">
      <alignment wrapText="1"/>
    </xf>
    <xf numFmtId="0" fontId="0" fillId="0" borderId="16" xfId="0" applyFont="1" applyFill="1" applyBorder="1" applyAlignment="1">
      <alignment horizontal="center" wrapText="1"/>
    </xf>
    <xf numFmtId="0" fontId="34" fillId="0" borderId="16" xfId="0" applyFont="1" applyFill="1" applyBorder="1" applyAlignment="1">
      <alignment horizontal="center" wrapText="1"/>
    </xf>
    <xf numFmtId="166" fontId="0" fillId="0" borderId="16" xfId="0" applyNumberFormat="1" applyFont="1" applyFill="1" applyBorder="1" applyAlignment="1">
      <alignment horizontal="center" wrapText="1"/>
    </xf>
    <xf numFmtId="166" fontId="14" fillId="0" borderId="16" xfId="0" applyNumberFormat="1" applyFont="1" applyFill="1" applyBorder="1" applyAlignment="1">
      <alignment horizontal="center" wrapText="1"/>
    </xf>
    <xf numFmtId="166" fontId="0" fillId="0" borderId="11" xfId="0" applyNumberFormat="1" applyFont="1" applyFill="1" applyBorder="1" applyAlignment="1">
      <alignment horizontal="center" wrapText="1"/>
    </xf>
    <xf numFmtId="166" fontId="14" fillId="0" borderId="11" xfId="0" applyNumberFormat="1" applyFont="1" applyFill="1" applyBorder="1" applyAlignment="1">
      <alignment horizontal="center" wrapText="1"/>
    </xf>
    <xf numFmtId="166" fontId="14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horizontal="center" wrapText="1"/>
    </xf>
    <xf numFmtId="0" fontId="0" fillId="0" borderId="11" xfId="0" applyNumberForma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11" xfId="0" applyNumberFormat="1" applyFill="1" applyBorder="1" applyAlignment="1">
      <alignment/>
    </xf>
    <xf numFmtId="4" fontId="14" fillId="0" borderId="11" xfId="0" applyNumberFormat="1" applyFont="1" applyFill="1" applyBorder="1" applyAlignment="1">
      <alignment/>
    </xf>
    <xf numFmtId="167" fontId="14" fillId="0" borderId="0" xfId="0" applyNumberFormat="1" applyFont="1" applyFill="1" applyBorder="1" applyAlignment="1">
      <alignment/>
    </xf>
    <xf numFmtId="166" fontId="14" fillId="0" borderId="0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14" fillId="0" borderId="11" xfId="0" applyFont="1" applyFill="1" applyBorder="1" applyAlignment="1">
      <alignment wrapText="1"/>
    </xf>
    <xf numFmtId="167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17" xfId="0" applyFont="1" applyFill="1" applyBorder="1" applyAlignment="1">
      <alignment wrapText="1"/>
    </xf>
    <xf numFmtId="4" fontId="0" fillId="0" borderId="0" xfId="0" applyNumberFormat="1" applyFill="1" applyAlignment="1">
      <alignment/>
    </xf>
    <xf numFmtId="4" fontId="14" fillId="0" borderId="0" xfId="0" applyNumberFormat="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40" borderId="11" xfId="0" applyFont="1" applyFill="1" applyBorder="1" applyAlignment="1">
      <alignment horizontal="center" wrapText="1"/>
    </xf>
    <xf numFmtId="164" fontId="0" fillId="40" borderId="11" xfId="0" applyNumberFormat="1" applyFont="1" applyFill="1" applyBorder="1" applyAlignment="1">
      <alignment wrapText="1"/>
    </xf>
    <xf numFmtId="0" fontId="0" fillId="40" borderId="0" xfId="0" applyFill="1" applyAlignment="1">
      <alignment wrapText="1"/>
    </xf>
    <xf numFmtId="0" fontId="0" fillId="40" borderId="11" xfId="0" applyFill="1" applyBorder="1" applyAlignment="1">
      <alignment horizontal="center" wrapText="1"/>
    </xf>
    <xf numFmtId="0" fontId="0" fillId="40" borderId="11" xfId="0" applyNumberFormat="1" applyFill="1" applyBorder="1" applyAlignment="1">
      <alignment horizontal="center" wrapText="1"/>
    </xf>
    <xf numFmtId="0" fontId="0" fillId="40" borderId="11" xfId="0" applyFill="1" applyBorder="1" applyAlignment="1">
      <alignment horizontal="center"/>
    </xf>
    <xf numFmtId="0" fontId="0" fillId="40" borderId="0" xfId="0" applyFill="1" applyAlignment="1">
      <alignment horizontal="center"/>
    </xf>
    <xf numFmtId="4" fontId="0" fillId="40" borderId="11" xfId="0" applyNumberFormat="1" applyFill="1" applyBorder="1" applyAlignment="1">
      <alignment/>
    </xf>
    <xf numFmtId="4" fontId="0" fillId="40" borderId="11" xfId="0" applyNumberFormat="1" applyFont="1" applyFill="1" applyBorder="1" applyAlignment="1">
      <alignment/>
    </xf>
    <xf numFmtId="4" fontId="14" fillId="40" borderId="11" xfId="0" applyNumberFormat="1" applyFont="1" applyFill="1" applyBorder="1" applyAlignment="1">
      <alignment/>
    </xf>
    <xf numFmtId="4" fontId="0" fillId="0" borderId="11" xfId="0" applyNumberFormat="1" applyBorder="1" applyAlignment="1">
      <alignment/>
    </xf>
    <xf numFmtId="166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14" fillId="0" borderId="11" xfId="0" applyNumberFormat="1" applyFont="1" applyBorder="1" applyAlignment="1">
      <alignment/>
    </xf>
    <xf numFmtId="1" fontId="0" fillId="0" borderId="0" xfId="0" applyNumberFormat="1" applyAlignment="1">
      <alignment/>
    </xf>
    <xf numFmtId="0" fontId="14" fillId="0" borderId="0" xfId="0" applyFont="1" applyAlignment="1">
      <alignment horizontal="center" wrapText="1"/>
    </xf>
    <xf numFmtId="1" fontId="14" fillId="0" borderId="0" xfId="0" applyNumberFormat="1" applyFont="1" applyAlignment="1">
      <alignment horizontal="center" wrapText="1"/>
    </xf>
    <xf numFmtId="2" fontId="14" fillId="0" borderId="0" xfId="0" applyNumberFormat="1" applyFont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8" fontId="0" fillId="0" borderId="11" xfId="0" applyNumberFormat="1" applyBorder="1" applyAlignment="1">
      <alignment wrapText="1"/>
    </xf>
    <xf numFmtId="168" fontId="14" fillId="0" borderId="11" xfId="0" applyNumberFormat="1" applyFont="1" applyBorder="1" applyAlignment="1">
      <alignment/>
    </xf>
    <xf numFmtId="168" fontId="14" fillId="0" borderId="0" xfId="0" applyNumberFormat="1" applyFont="1" applyBorder="1" applyAlignment="1">
      <alignment/>
    </xf>
    <xf numFmtId="2" fontId="14" fillId="4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40" borderId="0" xfId="0" applyFont="1" applyFill="1" applyAlignment="1">
      <alignment/>
    </xf>
    <xf numFmtId="0" fontId="0" fillId="0" borderId="0" xfId="0" applyFont="1" applyAlignment="1">
      <alignment/>
    </xf>
    <xf numFmtId="2" fontId="14" fillId="0" borderId="0" xfId="0" applyNumberFormat="1" applyFont="1" applyFill="1" applyAlignment="1">
      <alignment/>
    </xf>
    <xf numFmtId="0" fontId="13" fillId="0" borderId="0" xfId="0" applyFont="1" applyFill="1" applyAlignment="1">
      <alignment wrapText="1"/>
    </xf>
    <xf numFmtId="2" fontId="0" fillId="0" borderId="0" xfId="0" applyNumberFormat="1" applyFont="1" applyAlignment="1">
      <alignment/>
    </xf>
    <xf numFmtId="0" fontId="0" fillId="40" borderId="11" xfId="0" applyFont="1" applyFill="1" applyBorder="1" applyAlignment="1">
      <alignment horizontal="center" vertical="center" wrapText="1"/>
    </xf>
    <xf numFmtId="2" fontId="14" fillId="40" borderId="11" xfId="0" applyNumberFormat="1" applyFont="1" applyFill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66" fontId="0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4" fillId="0" borderId="11" xfId="0" applyNumberFormat="1" applyFont="1" applyBorder="1" applyAlignment="1">
      <alignment horizontal="center" wrapText="1"/>
    </xf>
    <xf numFmtId="0" fontId="35" fillId="40" borderId="11" xfId="0" applyNumberFormat="1" applyFont="1" applyFill="1" applyBorder="1" applyAlignment="1">
      <alignment horizontal="center" wrapText="1"/>
    </xf>
    <xf numFmtId="0" fontId="14" fillId="40" borderId="11" xfId="0" applyNumberFormat="1" applyFont="1" applyFill="1" applyBorder="1" applyAlignment="1">
      <alignment horizontal="center"/>
    </xf>
    <xf numFmtId="0" fontId="14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14" fillId="0" borderId="11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168" fontId="14" fillId="0" borderId="11" xfId="0" applyNumberFormat="1" applyFont="1" applyFill="1" applyBorder="1" applyAlignment="1">
      <alignment/>
    </xf>
    <xf numFmtId="168" fontId="14" fillId="40" borderId="11" xfId="0" applyNumberFormat="1" applyFont="1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168" fontId="0" fillId="0" borderId="0" xfId="0" applyNumberFormat="1" applyAlignment="1">
      <alignment/>
    </xf>
    <xf numFmtId="168" fontId="14" fillId="0" borderId="11" xfId="0" applyNumberFormat="1" applyFont="1" applyBorder="1" applyAlignment="1">
      <alignment/>
    </xf>
    <xf numFmtId="4" fontId="14" fillId="0" borderId="11" xfId="0" applyNumberFormat="1" applyFont="1" applyFill="1" applyBorder="1" applyAlignment="1">
      <alignment wrapText="1"/>
    </xf>
    <xf numFmtId="2" fontId="0" fillId="0" borderId="0" xfId="0" applyNumberFormat="1" applyFont="1" applyFill="1" applyAlignment="1">
      <alignment/>
    </xf>
    <xf numFmtId="164" fontId="0" fillId="40" borderId="0" xfId="0" applyNumberFormat="1" applyFont="1" applyFill="1" applyAlignment="1">
      <alignment/>
    </xf>
    <xf numFmtId="2" fontId="0" fillId="40" borderId="0" xfId="0" applyNumberFormat="1" applyFont="1" applyFill="1" applyAlignment="1">
      <alignment/>
    </xf>
    <xf numFmtId="164" fontId="14" fillId="40" borderId="12" xfId="0" applyNumberFormat="1" applyFont="1" applyFill="1" applyBorder="1" applyAlignment="1">
      <alignment horizontal="center"/>
    </xf>
    <xf numFmtId="0" fontId="0" fillId="40" borderId="11" xfId="0" applyFont="1" applyFill="1" applyBorder="1" applyAlignment="1">
      <alignment/>
    </xf>
    <xf numFmtId="2" fontId="14" fillId="40" borderId="11" xfId="0" applyNumberFormat="1" applyFont="1" applyFill="1" applyBorder="1" applyAlignment="1">
      <alignment wrapText="1"/>
    </xf>
    <xf numFmtId="164" fontId="14" fillId="40" borderId="11" xfId="0" applyNumberFormat="1" applyFont="1" applyFill="1" applyBorder="1" applyAlignment="1">
      <alignment wrapText="1"/>
    </xf>
    <xf numFmtId="168" fontId="0" fillId="40" borderId="11" xfId="0" applyNumberFormat="1" applyFont="1" applyFill="1" applyBorder="1" applyAlignment="1">
      <alignment/>
    </xf>
    <xf numFmtId="168" fontId="37" fillId="40" borderId="11" xfId="0" applyNumberFormat="1" applyFont="1" applyFill="1" applyBorder="1" applyAlignment="1">
      <alignment/>
    </xf>
    <xf numFmtId="168" fontId="14" fillId="40" borderId="11" xfId="0" applyNumberFormat="1" applyFont="1" applyFill="1" applyBorder="1" applyAlignment="1">
      <alignment wrapText="1"/>
    </xf>
    <xf numFmtId="0" fontId="0" fillId="40" borderId="0" xfId="0" applyFont="1" applyFill="1" applyAlignment="1">
      <alignment wrapText="1"/>
    </xf>
    <xf numFmtId="4" fontId="0" fillId="40" borderId="0" xfId="0" applyNumberFormat="1" applyFont="1" applyFill="1" applyAlignment="1">
      <alignment wrapText="1"/>
    </xf>
    <xf numFmtId="4" fontId="14" fillId="40" borderId="0" xfId="0" applyNumberFormat="1" applyFont="1" applyFill="1" applyAlignment="1">
      <alignment/>
    </xf>
    <xf numFmtId="4" fontId="0" fillId="40" borderId="0" xfId="0" applyNumberFormat="1" applyFont="1" applyFill="1" applyAlignment="1">
      <alignment/>
    </xf>
    <xf numFmtId="167" fontId="14" fillId="40" borderId="0" xfId="0" applyNumberFormat="1" applyFont="1" applyFill="1" applyAlignment="1">
      <alignment/>
    </xf>
    <xf numFmtId="0" fontId="25" fillId="0" borderId="0" xfId="0" applyFont="1" applyAlignment="1">
      <alignment/>
    </xf>
    <xf numFmtId="2" fontId="25" fillId="40" borderId="0" xfId="0" applyNumberFormat="1" applyFont="1" applyFill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wrapText="1"/>
    </xf>
    <xf numFmtId="2" fontId="22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11" xfId="0" applyFont="1" applyBorder="1" applyAlignment="1">
      <alignment/>
    </xf>
    <xf numFmtId="168" fontId="25" fillId="0" borderId="11" xfId="0" applyNumberFormat="1" applyFont="1" applyBorder="1" applyAlignment="1">
      <alignment wrapText="1"/>
    </xf>
    <xf numFmtId="168" fontId="25" fillId="0" borderId="11" xfId="0" applyNumberFormat="1" applyFont="1" applyFill="1" applyBorder="1" applyAlignment="1">
      <alignment/>
    </xf>
    <xf numFmtId="0" fontId="25" fillId="0" borderId="11" xfId="0" applyFont="1" applyBorder="1" applyAlignment="1">
      <alignment wrapText="1"/>
    </xf>
    <xf numFmtId="0" fontId="22" fillId="0" borderId="11" xfId="0" applyFont="1" applyBorder="1" applyAlignment="1">
      <alignment wrapText="1"/>
    </xf>
    <xf numFmtId="168" fontId="22" fillId="0" borderId="11" xfId="0" applyNumberFormat="1" applyFont="1" applyBorder="1" applyAlignment="1">
      <alignment wrapText="1"/>
    </xf>
    <xf numFmtId="168" fontId="27" fillId="40" borderId="11" xfId="0" applyNumberFormat="1" applyFont="1" applyFill="1" applyBorder="1" applyAlignment="1">
      <alignment/>
    </xf>
    <xf numFmtId="168" fontId="25" fillId="41" borderId="11" xfId="0" applyNumberFormat="1" applyFont="1" applyFill="1" applyBorder="1" applyAlignment="1">
      <alignment/>
    </xf>
    <xf numFmtId="168" fontId="28" fillId="41" borderId="11" xfId="0" applyNumberFormat="1" applyFont="1" applyFill="1" applyBorder="1" applyAlignment="1">
      <alignment/>
    </xf>
    <xf numFmtId="168" fontId="27" fillId="41" borderId="11" xfId="0" applyNumberFormat="1" applyFont="1" applyFill="1" applyBorder="1" applyAlignment="1">
      <alignment/>
    </xf>
    <xf numFmtId="168" fontId="22" fillId="41" borderId="11" xfId="0" applyNumberFormat="1" applyFont="1" applyFill="1" applyBorder="1" applyAlignment="1">
      <alignment/>
    </xf>
    <xf numFmtId="168" fontId="25" fillId="41" borderId="12" xfId="0" applyNumberFormat="1" applyFont="1" applyFill="1" applyBorder="1" applyAlignment="1">
      <alignment/>
    </xf>
    <xf numFmtId="168" fontId="27" fillId="41" borderId="12" xfId="0" applyNumberFormat="1" applyFont="1" applyFill="1" applyBorder="1" applyAlignment="1">
      <alignment/>
    </xf>
    <xf numFmtId="168" fontId="22" fillId="41" borderId="12" xfId="0" applyNumberFormat="1" applyFont="1" applyFill="1" applyBorder="1" applyAlignment="1">
      <alignment/>
    </xf>
    <xf numFmtId="0" fontId="22" fillId="40" borderId="11" xfId="0" applyFont="1" applyFill="1" applyBorder="1" applyAlignment="1">
      <alignment horizontal="center"/>
    </xf>
    <xf numFmtId="0" fontId="0" fillId="40" borderId="11" xfId="0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168" fontId="19" fillId="40" borderId="11" xfId="0" applyNumberFormat="1" applyFont="1" applyFill="1" applyBorder="1" applyAlignment="1">
      <alignment/>
    </xf>
    <xf numFmtId="168" fontId="38" fillId="40" borderId="11" xfId="0" applyNumberFormat="1" applyFont="1" applyFill="1" applyBorder="1" applyAlignment="1">
      <alignment wrapText="1"/>
    </xf>
    <xf numFmtId="49" fontId="14" fillId="40" borderId="13" xfId="0" applyNumberFormat="1" applyFont="1" applyFill="1" applyBorder="1" applyAlignment="1">
      <alignment horizontal="center" vertical="center" wrapText="1"/>
    </xf>
    <xf numFmtId="0" fontId="13" fillId="40" borderId="0" xfId="0" applyFont="1" applyFill="1" applyBorder="1" applyAlignment="1">
      <alignment horizontal="center" wrapText="1"/>
    </xf>
    <xf numFmtId="0" fontId="14" fillId="40" borderId="11" xfId="0" applyFont="1" applyFill="1" applyBorder="1" applyAlignment="1">
      <alignment horizontal="center" vertical="center" wrapText="1"/>
    </xf>
    <xf numFmtId="49" fontId="14" fillId="40" borderId="11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2" fillId="40" borderId="0" xfId="0" applyFont="1" applyFill="1" applyBorder="1" applyAlignment="1">
      <alignment horizontal="center" wrapText="1"/>
    </xf>
    <xf numFmtId="0" fontId="23" fillId="40" borderId="0" xfId="0" applyFont="1" applyFill="1" applyBorder="1" applyAlignment="1">
      <alignment horizontal="right"/>
    </xf>
    <xf numFmtId="0" fontId="22" fillId="40" borderId="11" xfId="0" applyFont="1" applyFill="1" applyBorder="1" applyAlignment="1">
      <alignment horizontal="center"/>
    </xf>
    <xf numFmtId="49" fontId="22" fillId="40" borderId="11" xfId="0" applyNumberFormat="1" applyFont="1" applyFill="1" applyBorder="1" applyAlignment="1">
      <alignment horizontal="center" vertical="top" wrapText="1"/>
    </xf>
    <xf numFmtId="49" fontId="22" fillId="40" borderId="12" xfId="0" applyNumberFormat="1" applyFont="1" applyFill="1" applyBorder="1" applyAlignment="1">
      <alignment horizontal="center" vertical="top" wrapText="1"/>
    </xf>
    <xf numFmtId="49" fontId="24" fillId="40" borderId="0" xfId="0" applyNumberFormat="1" applyFont="1" applyFill="1" applyBorder="1" applyAlignment="1">
      <alignment horizontal="center" vertical="top" wrapText="1"/>
    </xf>
    <xf numFmtId="167" fontId="22" fillId="40" borderId="11" xfId="0" applyNumberFormat="1" applyFont="1" applyFill="1" applyBorder="1" applyAlignment="1">
      <alignment horizontal="center" vertical="top" wrapText="1"/>
    </xf>
    <xf numFmtId="167" fontId="24" fillId="40" borderId="0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34" fillId="0" borderId="19" xfId="0" applyFont="1" applyBorder="1" applyAlignment="1">
      <alignment horizontal="center" wrapText="1"/>
    </xf>
    <xf numFmtId="0" fontId="34" fillId="0" borderId="11" xfId="0" applyFont="1" applyFill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15" fillId="40" borderId="0" xfId="0" applyFont="1" applyFill="1" applyBorder="1" applyAlignment="1">
      <alignment horizontal="center" wrapText="1"/>
    </xf>
    <xf numFmtId="0" fontId="0" fillId="40" borderId="11" xfId="0" applyFont="1" applyFill="1" applyBorder="1" applyAlignment="1">
      <alignment horizontal="center" wrapText="1"/>
    </xf>
    <xf numFmtId="0" fontId="14" fillId="40" borderId="11" xfId="0" applyFont="1" applyFill="1" applyBorder="1" applyAlignment="1">
      <alignment horizontal="center" wrapText="1"/>
    </xf>
    <xf numFmtId="0" fontId="36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14" fillId="40" borderId="18" xfId="0" applyFont="1" applyFill="1" applyBorder="1" applyAlignment="1">
      <alignment horizontal="center" vertical="center" wrapText="1"/>
    </xf>
    <xf numFmtId="164" fontId="14" fillId="40" borderId="11" xfId="0" applyNumberFormat="1" applyFont="1" applyFill="1" applyBorder="1" applyAlignment="1">
      <alignment horizontal="center"/>
    </xf>
    <xf numFmtId="2" fontId="14" fillId="40" borderId="11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zoomScalePageLayoutView="0" workbookViewId="0" topLeftCell="A1">
      <selection activeCell="I25" sqref="I25"/>
    </sheetView>
  </sheetViews>
  <sheetFormatPr defaultColWidth="9.00390625" defaultRowHeight="12.75"/>
  <cols>
    <col min="1" max="1" width="5.875" style="1" customWidth="1"/>
    <col min="2" max="2" width="23.25390625" style="1" customWidth="1"/>
    <col min="3" max="3" width="10.875" style="1" customWidth="1"/>
    <col min="4" max="4" width="9.875" style="1" customWidth="1"/>
    <col min="5" max="5" width="16.375" style="1" customWidth="1"/>
    <col min="6" max="6" width="11.125" style="1" customWidth="1"/>
    <col min="7" max="7" width="12.25390625" style="1" customWidth="1"/>
    <col min="8" max="8" width="9.25390625" style="1" customWidth="1"/>
    <col min="9" max="9" width="12.125" style="1" customWidth="1"/>
    <col min="10" max="10" width="11.875" style="1" customWidth="1"/>
    <col min="11" max="11" width="13.25390625" style="1" customWidth="1"/>
    <col min="12" max="12" width="12.25390625" style="1" customWidth="1"/>
    <col min="13" max="13" width="11.875" style="1" hidden="1" customWidth="1"/>
    <col min="14" max="14" width="9.25390625" style="2" hidden="1" customWidth="1"/>
    <col min="15" max="15" width="9.00390625" style="1" hidden="1" customWidth="1"/>
    <col min="16" max="16" width="17.375" style="1" hidden="1" customWidth="1"/>
    <col min="17" max="16384" width="9.125" style="1" customWidth="1"/>
  </cols>
  <sheetData>
    <row r="1" ht="12.75">
      <c r="K1" s="1" t="s">
        <v>0</v>
      </c>
    </row>
    <row r="3" spans="1:12" ht="38.25" customHeight="1">
      <c r="A3" s="245" t="s">
        <v>197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</row>
    <row r="5" spans="1:14" s="6" customFormat="1" ht="12.75" customHeight="1">
      <c r="A5" s="246" t="s">
        <v>1</v>
      </c>
      <c r="B5" s="246" t="s">
        <v>2</v>
      </c>
      <c r="C5" s="246" t="s">
        <v>3</v>
      </c>
      <c r="D5" s="246"/>
      <c r="E5" s="246"/>
      <c r="F5" s="246" t="s">
        <v>4</v>
      </c>
      <c r="G5" s="246"/>
      <c r="H5" s="246"/>
      <c r="I5" s="246" t="s">
        <v>5</v>
      </c>
      <c r="J5" s="246"/>
      <c r="K5" s="246"/>
      <c r="L5" s="247" t="s">
        <v>196</v>
      </c>
      <c r="M5" s="244"/>
      <c r="N5" s="5"/>
    </row>
    <row r="6" spans="1:14" s="6" customFormat="1" ht="99.75" customHeight="1">
      <c r="A6" s="246"/>
      <c r="B6" s="246"/>
      <c r="C6" s="3" t="s">
        <v>190</v>
      </c>
      <c r="D6" s="3" t="s">
        <v>6</v>
      </c>
      <c r="E6" s="3" t="s">
        <v>191</v>
      </c>
      <c r="F6" s="3" t="s">
        <v>192</v>
      </c>
      <c r="G6" s="3" t="s">
        <v>6</v>
      </c>
      <c r="H6" s="3" t="s">
        <v>193</v>
      </c>
      <c r="I6" s="4" t="s">
        <v>194</v>
      </c>
      <c r="J6" s="3" t="s">
        <v>6</v>
      </c>
      <c r="K6" s="4" t="s">
        <v>195</v>
      </c>
      <c r="L6" s="247"/>
      <c r="M6" s="244"/>
      <c r="N6" s="5"/>
    </row>
    <row r="7" spans="1:16" ht="25.5">
      <c r="A7" s="7">
        <v>1</v>
      </c>
      <c r="B7" s="8" t="s">
        <v>7</v>
      </c>
      <c r="C7" s="9">
        <v>5036.4</v>
      </c>
      <c r="D7" s="10">
        <f>C7/C15</f>
        <v>0.5898183606787759</v>
      </c>
      <c r="E7" s="11">
        <f>E15*D7</f>
        <v>5486.785300214313</v>
      </c>
      <c r="F7" s="9">
        <v>5450</v>
      </c>
      <c r="G7" s="11">
        <f>F7/F15</f>
        <v>0.3205882352941177</v>
      </c>
      <c r="H7" s="10">
        <f>H15*G7</f>
        <v>4557.161764705883</v>
      </c>
      <c r="I7" s="12">
        <v>308</v>
      </c>
      <c r="J7" s="11">
        <f>I7/I15</f>
        <v>0.44</v>
      </c>
      <c r="K7" s="11">
        <f>K15*J7</f>
        <v>513.48</v>
      </c>
      <c r="L7" s="13">
        <f>+E7+H7+K7</f>
        <v>10557.427064920195</v>
      </c>
      <c r="M7" s="13">
        <f aca="true" t="shared" si="0" ref="M7:M15">+I7+F7+C7</f>
        <v>10794.4</v>
      </c>
      <c r="N7" s="2">
        <f aca="true" t="shared" si="1" ref="N7:N15">+L7-M7</f>
        <v>-236.9729350798043</v>
      </c>
      <c r="O7" s="14">
        <v>6285.5</v>
      </c>
      <c r="P7" s="15">
        <f aca="true" t="shared" si="2" ref="P7:P15">+O7-E7</f>
        <v>798.7146997856871</v>
      </c>
    </row>
    <row r="8" spans="1:16" ht="25.5">
      <c r="A8" s="7">
        <v>2</v>
      </c>
      <c r="B8" s="8" t="s">
        <v>8</v>
      </c>
      <c r="C8" s="9">
        <v>568</v>
      </c>
      <c r="D8" s="10">
        <f>C8/C15</f>
        <v>0.066519106676504</v>
      </c>
      <c r="E8" s="11">
        <f>E15*D8</f>
        <v>618.7939898581784</v>
      </c>
      <c r="F8" s="9">
        <v>2300</v>
      </c>
      <c r="G8" s="11">
        <f>F8/F15</f>
        <v>0.13529411764705881</v>
      </c>
      <c r="H8" s="10">
        <f>H15*G8</f>
        <v>1923.205882352941</v>
      </c>
      <c r="I8" s="12">
        <v>146</v>
      </c>
      <c r="J8" s="11">
        <f>I8/I15</f>
        <v>0.20857142857142857</v>
      </c>
      <c r="K8" s="11">
        <f>K15*J8</f>
        <v>243.40285714285716</v>
      </c>
      <c r="L8" s="13">
        <f>+E8+H8+K8</f>
        <v>2785.4027293539766</v>
      </c>
      <c r="M8" s="13">
        <f t="shared" si="0"/>
        <v>3014</v>
      </c>
      <c r="N8" s="2">
        <f t="shared" si="1"/>
        <v>-228.5972706460234</v>
      </c>
      <c r="O8" s="14">
        <v>5032.5</v>
      </c>
      <c r="P8" s="15">
        <f t="shared" si="2"/>
        <v>4413.706010141822</v>
      </c>
    </row>
    <row r="9" spans="1:16" ht="25.5">
      <c r="A9" s="7">
        <v>3</v>
      </c>
      <c r="B9" s="8" t="s">
        <v>9</v>
      </c>
      <c r="C9" s="9">
        <v>622</v>
      </c>
      <c r="D9" s="10">
        <f>C9/C15</f>
        <v>0.07284310625490403</v>
      </c>
      <c r="E9" s="11">
        <f>E15*D9</f>
        <v>677.6229959362448</v>
      </c>
      <c r="F9" s="9">
        <v>4400</v>
      </c>
      <c r="G9" s="11">
        <f>F9/F15</f>
        <v>0.25882352941176473</v>
      </c>
      <c r="H9" s="10">
        <f>H15*G9</f>
        <v>3679.1764705882356</v>
      </c>
      <c r="I9" s="12">
        <v>96</v>
      </c>
      <c r="J9" s="11">
        <f>I9/I15</f>
        <v>0.13714285714285715</v>
      </c>
      <c r="K9" s="11">
        <f>K15*J9</f>
        <v>160.0457142857143</v>
      </c>
      <c r="L9" s="13">
        <f>+E9+H9+K9</f>
        <v>4516.8451808101945</v>
      </c>
      <c r="M9" s="13">
        <f t="shared" si="0"/>
        <v>5118</v>
      </c>
      <c r="N9" s="2">
        <f t="shared" si="1"/>
        <v>-601.1548191898055</v>
      </c>
      <c r="O9" s="14">
        <v>690</v>
      </c>
      <c r="P9" s="15">
        <f t="shared" si="2"/>
        <v>12.37700406375518</v>
      </c>
    </row>
    <row r="10" spans="1:16" ht="25.5">
      <c r="A10" s="7">
        <v>4</v>
      </c>
      <c r="B10" s="8" t="s">
        <v>10</v>
      </c>
      <c r="C10" s="9">
        <v>1751.5</v>
      </c>
      <c r="D10" s="10">
        <f>C10/C15</f>
        <v>0.20512009743643797</v>
      </c>
      <c r="E10" s="11">
        <f>E15*D10</f>
        <v>1908.1297064024643</v>
      </c>
      <c r="F10" s="9">
        <v>2800</v>
      </c>
      <c r="G10" s="11">
        <f>F10/F15</f>
        <v>0.16470588235294117</v>
      </c>
      <c r="H10" s="10">
        <f>H15*G10</f>
        <v>2341.294117647059</v>
      </c>
      <c r="I10" s="12">
        <v>110</v>
      </c>
      <c r="J10" s="11">
        <f>I10/I15</f>
        <v>0.15714285714285714</v>
      </c>
      <c r="K10" s="11">
        <f>K15*J10</f>
        <v>183.38571428571427</v>
      </c>
      <c r="L10" s="13">
        <f>+E10+H10+K10</f>
        <v>4432.809538335237</v>
      </c>
      <c r="M10" s="13">
        <f t="shared" si="0"/>
        <v>4661.5</v>
      </c>
      <c r="N10" s="2">
        <f t="shared" si="1"/>
        <v>-228.69046166476255</v>
      </c>
      <c r="O10" s="14">
        <v>482</v>
      </c>
      <c r="P10" s="15">
        <f t="shared" si="2"/>
        <v>-1426.1297064024643</v>
      </c>
    </row>
    <row r="11" spans="1:16" ht="25.5">
      <c r="A11" s="7">
        <v>5</v>
      </c>
      <c r="B11" s="8" t="s">
        <v>11</v>
      </c>
      <c r="C11" s="9">
        <v>561</v>
      </c>
      <c r="D11" s="10">
        <f>C11/C15</f>
        <v>0.06569932895337807</v>
      </c>
      <c r="E11" s="11">
        <f>E15*D11</f>
        <v>611.1680075887995</v>
      </c>
      <c r="F11" s="9">
        <v>2050</v>
      </c>
      <c r="G11" s="11">
        <f>F11/F15</f>
        <v>0.12058823529411765</v>
      </c>
      <c r="H11" s="10">
        <f>H15*G11</f>
        <v>1714.1617647058824</v>
      </c>
      <c r="I11" s="12">
        <v>40</v>
      </c>
      <c r="J11" s="11">
        <f>I11/I15</f>
        <v>0.05714285714285714</v>
      </c>
      <c r="K11" s="11">
        <f>K15*J11</f>
        <v>66.68571428571428</v>
      </c>
      <c r="L11" s="13">
        <f>+E11+H11+K11</f>
        <v>2392.015486580396</v>
      </c>
      <c r="M11" s="13">
        <f t="shared" si="0"/>
        <v>2651</v>
      </c>
      <c r="N11" s="2">
        <f t="shared" si="1"/>
        <v>-258.9845134196039</v>
      </c>
      <c r="O11" s="14">
        <v>1143</v>
      </c>
      <c r="P11" s="15">
        <f t="shared" si="2"/>
        <v>531.8319924112005</v>
      </c>
    </row>
    <row r="12" spans="1:16" ht="12.75">
      <c r="A12" s="7">
        <v>6</v>
      </c>
      <c r="B12" s="16"/>
      <c r="C12" s="9"/>
      <c r="D12" s="10"/>
      <c r="E12" s="11"/>
      <c r="F12" s="9"/>
      <c r="G12" s="11"/>
      <c r="H12" s="10"/>
      <c r="I12" s="12"/>
      <c r="J12" s="11"/>
      <c r="K12" s="11"/>
      <c r="L12" s="13"/>
      <c r="M12" s="13">
        <f t="shared" si="0"/>
        <v>0</v>
      </c>
      <c r="N12" s="2">
        <f t="shared" si="1"/>
        <v>0</v>
      </c>
      <c r="O12" s="14">
        <v>2707</v>
      </c>
      <c r="P12" s="15">
        <f t="shared" si="2"/>
        <v>2707</v>
      </c>
    </row>
    <row r="13" spans="1:16" ht="12.75">
      <c r="A13" s="7">
        <v>7</v>
      </c>
      <c r="B13" s="16"/>
      <c r="C13" s="9"/>
      <c r="D13" s="10"/>
      <c r="E13" s="11"/>
      <c r="F13" s="9"/>
      <c r="G13" s="11"/>
      <c r="H13" s="10"/>
      <c r="I13" s="12"/>
      <c r="J13" s="11"/>
      <c r="K13" s="11"/>
      <c r="L13" s="13"/>
      <c r="M13" s="13">
        <f t="shared" si="0"/>
        <v>0</v>
      </c>
      <c r="N13" s="2">
        <f t="shared" si="1"/>
        <v>0</v>
      </c>
      <c r="O13" s="14">
        <v>498</v>
      </c>
      <c r="P13" s="15">
        <f t="shared" si="2"/>
        <v>498</v>
      </c>
    </row>
    <row r="14" spans="1:16" ht="12.75">
      <c r="A14" s="7">
        <v>8</v>
      </c>
      <c r="B14" s="16"/>
      <c r="C14" s="9"/>
      <c r="D14" s="10"/>
      <c r="E14" s="11"/>
      <c r="F14" s="9"/>
      <c r="G14" s="11"/>
      <c r="H14" s="10"/>
      <c r="I14" s="12"/>
      <c r="J14" s="11"/>
      <c r="K14" s="11"/>
      <c r="L14" s="13"/>
      <c r="M14" s="13">
        <f t="shared" si="0"/>
        <v>0</v>
      </c>
      <c r="N14" s="2">
        <f t="shared" si="1"/>
        <v>0</v>
      </c>
      <c r="O14" s="14">
        <v>3276</v>
      </c>
      <c r="P14" s="15">
        <f t="shared" si="2"/>
        <v>3276</v>
      </c>
    </row>
    <row r="15" spans="1:16" ht="12.75">
      <c r="A15" s="7"/>
      <c r="B15" s="17" t="s">
        <v>12</v>
      </c>
      <c r="C15" s="18">
        <f>SUM(C7:C14)</f>
        <v>8538.9</v>
      </c>
      <c r="D15" s="13">
        <f>D7+D8+D9+D10+D11+D12+D13+D14</f>
        <v>1</v>
      </c>
      <c r="E15" s="13">
        <v>9302.5</v>
      </c>
      <c r="F15" s="13">
        <f>SUM(F7:F14)</f>
        <v>17000</v>
      </c>
      <c r="G15" s="13">
        <f>SUM(G7:G14)</f>
        <v>1</v>
      </c>
      <c r="H15" s="13">
        <v>14215</v>
      </c>
      <c r="I15" s="13">
        <f>SUM(I7:I14)</f>
        <v>700</v>
      </c>
      <c r="J15" s="13">
        <f>SUM(J7:J14)</f>
        <v>1</v>
      </c>
      <c r="K15" s="13">
        <v>1167</v>
      </c>
      <c r="L15" s="13">
        <f>SUM(L7:L14)</f>
        <v>24684.5</v>
      </c>
      <c r="M15" s="13">
        <f t="shared" si="0"/>
        <v>26238.9</v>
      </c>
      <c r="N15" s="2">
        <f t="shared" si="1"/>
        <v>-1554.4000000000015</v>
      </c>
      <c r="O15" s="15">
        <f>SUM(O7:O14)</f>
        <v>20114</v>
      </c>
      <c r="P15" s="15">
        <f t="shared" si="2"/>
        <v>10811.5</v>
      </c>
    </row>
    <row r="17" ht="17.25" customHeight="1"/>
  </sheetData>
  <sheetProtection selectLockedCells="1" selectUnlockedCells="1"/>
  <mergeCells count="8">
    <mergeCell ref="M5:M6"/>
    <mergeCell ref="A3:L3"/>
    <mergeCell ref="A5:A6"/>
    <mergeCell ref="B5:B6"/>
    <mergeCell ref="C5:E5"/>
    <mergeCell ref="F5:H5"/>
    <mergeCell ref="I5:K5"/>
    <mergeCell ref="L5:L6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18"/>
  <sheetViews>
    <sheetView zoomScale="80" zoomScaleNormal="8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D16" sqref="AD16"/>
    </sheetView>
  </sheetViews>
  <sheetFormatPr defaultColWidth="9.00390625" defaultRowHeight="12.75"/>
  <cols>
    <col min="1" max="1" width="3.625" style="0" customWidth="1"/>
    <col min="2" max="2" width="19.00390625" style="0" customWidth="1"/>
    <col min="3" max="3" width="12.25390625" style="0" customWidth="1"/>
    <col min="4" max="4" width="11.00390625" style="0" customWidth="1"/>
    <col min="5" max="5" width="12.75390625" style="40" customWidth="1"/>
    <col min="6" max="6" width="12.375" style="171" customWidth="1"/>
    <col min="7" max="7" width="12.00390625" style="137" customWidth="1"/>
    <col min="8" max="8" width="10.875" style="137" customWidth="1"/>
    <col min="9" max="9" width="16.125" style="0" customWidth="1"/>
    <col min="10" max="10" width="16.75390625" style="172" customWidth="1"/>
    <col min="11" max="11" width="11.125" style="116" customWidth="1"/>
    <col min="12" max="12" width="13.375" style="116" customWidth="1"/>
    <col min="13" max="13" width="16.75390625" style="116" customWidth="1"/>
    <col min="14" max="14" width="13.875" style="116" customWidth="1"/>
    <col min="15" max="15" width="16.75390625" style="173" customWidth="1"/>
    <col min="16" max="16" width="0.2421875" style="94" hidden="1" customWidth="1"/>
    <col min="17" max="17" width="9.25390625" style="174" hidden="1" customWidth="1"/>
    <col min="18" max="18" width="12.75390625" style="175" customWidth="1"/>
    <col min="19" max="19" width="9.75390625" style="172" hidden="1" customWidth="1"/>
    <col min="20" max="21" width="11.25390625" style="172" hidden="1" customWidth="1"/>
    <col min="22" max="22" width="10.875" style="172" hidden="1" customWidth="1"/>
    <col min="23" max="23" width="11.25390625" style="116" hidden="1" customWidth="1"/>
    <col min="24" max="24" width="10.625" style="172" hidden="1" customWidth="1"/>
    <col min="25" max="25" width="9.00390625" style="0" customWidth="1"/>
    <col min="26" max="26" width="12.00390625" style="0" customWidth="1"/>
  </cols>
  <sheetData>
    <row r="1" ht="12.75">
      <c r="N1" s="116" t="s">
        <v>136</v>
      </c>
    </row>
    <row r="2" spans="1:22" ht="54" customHeight="1">
      <c r="A2" s="273" t="s">
        <v>204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176"/>
      <c r="T2" s="176"/>
      <c r="U2" s="176"/>
      <c r="V2" s="176"/>
    </row>
    <row r="3" spans="15:17" ht="1.5" customHeight="1">
      <c r="O3" s="171"/>
      <c r="P3" s="115"/>
      <c r="Q3" s="177"/>
    </row>
    <row r="4" spans="1:24" s="187" customFormat="1" ht="198" customHeight="1">
      <c r="A4" s="163" t="s">
        <v>1</v>
      </c>
      <c r="B4" s="163" t="s">
        <v>2</v>
      </c>
      <c r="C4" s="178" t="s">
        <v>14</v>
      </c>
      <c r="D4" s="240" t="s">
        <v>176</v>
      </c>
      <c r="E4" s="241" t="s">
        <v>175</v>
      </c>
      <c r="F4" s="179" t="s">
        <v>137</v>
      </c>
      <c r="G4" s="180" t="s">
        <v>138</v>
      </c>
      <c r="H4" s="180" t="s">
        <v>139</v>
      </c>
      <c r="I4" s="163" t="s">
        <v>140</v>
      </c>
      <c r="J4" s="181" t="s">
        <v>141</v>
      </c>
      <c r="K4" s="182" t="s">
        <v>142</v>
      </c>
      <c r="L4" s="180" t="s">
        <v>143</v>
      </c>
      <c r="M4" s="163" t="s">
        <v>144</v>
      </c>
      <c r="N4" s="183" t="s">
        <v>145</v>
      </c>
      <c r="O4" s="179" t="s">
        <v>202</v>
      </c>
      <c r="P4" s="184" t="s">
        <v>146</v>
      </c>
      <c r="Q4" s="165" t="s">
        <v>147</v>
      </c>
      <c r="R4" s="185" t="s">
        <v>203</v>
      </c>
      <c r="S4" s="181">
        <v>2018</v>
      </c>
      <c r="T4" s="181" t="s">
        <v>148</v>
      </c>
      <c r="U4" s="186" t="s">
        <v>149</v>
      </c>
      <c r="V4" s="181" t="s">
        <v>150</v>
      </c>
      <c r="W4" s="186" t="s">
        <v>151</v>
      </c>
      <c r="X4" s="186" t="s">
        <v>152</v>
      </c>
    </row>
    <row r="5" spans="1:24" ht="12.75">
      <c r="A5" s="96">
        <v>1</v>
      </c>
      <c r="B5" s="96">
        <v>2</v>
      </c>
      <c r="C5" s="96">
        <v>3</v>
      </c>
      <c r="D5" s="96"/>
      <c r="E5" s="188">
        <v>4</v>
      </c>
      <c r="F5" s="189" t="s">
        <v>153</v>
      </c>
      <c r="G5" s="188">
        <v>5</v>
      </c>
      <c r="H5" s="188">
        <v>6</v>
      </c>
      <c r="I5" s="96">
        <v>7</v>
      </c>
      <c r="J5" s="98">
        <v>8</v>
      </c>
      <c r="K5" s="97">
        <v>9</v>
      </c>
      <c r="L5" s="97">
        <v>10</v>
      </c>
      <c r="M5" s="97">
        <v>11</v>
      </c>
      <c r="N5" s="97">
        <v>12</v>
      </c>
      <c r="O5" s="190">
        <v>13</v>
      </c>
      <c r="P5" s="191"/>
      <c r="Q5" s="192"/>
      <c r="R5" s="131">
        <v>14</v>
      </c>
      <c r="S5" s="98"/>
      <c r="T5" s="193"/>
      <c r="U5" s="193"/>
      <c r="V5" s="193"/>
      <c r="W5" s="36"/>
      <c r="X5" s="193"/>
    </row>
    <row r="6" spans="1:26" ht="41.25" customHeight="1">
      <c r="A6" s="20">
        <v>1</v>
      </c>
      <c r="B6" s="8" t="s">
        <v>7</v>
      </c>
      <c r="C6" s="108">
        <f>'Коэф.масшт.'!C5</f>
        <v>4275</v>
      </c>
      <c r="D6" s="152">
        <f>+'Налоговый потен'!L7</f>
        <v>10557.427064920195</v>
      </c>
      <c r="E6" s="152">
        <v>10264.4</v>
      </c>
      <c r="F6" s="154">
        <f>'субв от числ уточ'!D6</f>
        <v>2088.446471993963</v>
      </c>
      <c r="G6" s="155">
        <f>+ИБР!R7</f>
        <v>1.1138294433123217</v>
      </c>
      <c r="H6" s="155">
        <f>БО!D6</f>
        <v>1.0380954684292967</v>
      </c>
      <c r="I6" s="155">
        <f>(E14/C14)*(H15-H6)*G6*C6</f>
        <v>-3633.5048233928824</v>
      </c>
      <c r="J6" s="134">
        <f>I6*0.1</f>
        <v>-363.35048233928825</v>
      </c>
      <c r="K6" s="194">
        <f>БО!G6</f>
        <v>1.006120035127288</v>
      </c>
      <c r="L6" s="194">
        <f>E6+F6+J6</f>
        <v>11989.495989654673</v>
      </c>
      <c r="M6" s="194">
        <f>(L14/C14)*(1-K6)*G6*C6</f>
        <v>-76.90625769693132</v>
      </c>
      <c r="N6" s="195">
        <f>(3240-J14)*M6/M14</f>
        <v>-13.52338842080981</v>
      </c>
      <c r="O6" s="196">
        <f>J6+N6</f>
        <v>-376.87387076009804</v>
      </c>
      <c r="P6" s="109">
        <v>0</v>
      </c>
      <c r="Q6" s="14">
        <f>O6-P6</f>
        <v>-376.87387076009804</v>
      </c>
      <c r="R6" s="134">
        <f>F6</f>
        <v>2088.446471993963</v>
      </c>
      <c r="S6" s="197">
        <v>4005.19</v>
      </c>
      <c r="T6" s="198">
        <f aca="true" t="shared" si="0" ref="T6:T14">R6-S6</f>
        <v>-1916.7435280060372</v>
      </c>
      <c r="U6" s="198">
        <f aca="true" t="shared" si="1" ref="U6:U14">E6+R6</f>
        <v>12352.846471993962</v>
      </c>
      <c r="V6" s="197">
        <f aca="true" t="shared" si="2" ref="V6:V14">U6/C6*1000</f>
        <v>2889.5547302909854</v>
      </c>
      <c r="W6" s="199">
        <f aca="true" t="shared" si="3" ref="W6:W13">D6+R6</f>
        <v>12645.873536914158</v>
      </c>
      <c r="X6" s="197">
        <f aca="true" t="shared" si="4" ref="X6:X14">W6/C6*1000</f>
        <v>2958.099072962376</v>
      </c>
      <c r="Z6" s="200"/>
    </row>
    <row r="7" spans="1:26" ht="39" customHeight="1">
      <c r="A7" s="20">
        <v>2</v>
      </c>
      <c r="B7" s="8" t="s">
        <v>8</v>
      </c>
      <c r="C7" s="108">
        <f>'Коэф.масшт.'!C6</f>
        <v>2795</v>
      </c>
      <c r="D7" s="152">
        <f>+'Налоговый потен'!L8</f>
        <v>2785.4027293539766</v>
      </c>
      <c r="E7" s="152">
        <v>3093</v>
      </c>
      <c r="F7" s="154">
        <f>'субв от числ уточ'!D7</f>
        <v>1365.4287460171054</v>
      </c>
      <c r="G7" s="155">
        <f>+ИБР!R8</f>
        <v>1.1947569479692852</v>
      </c>
      <c r="H7" s="155">
        <f>БО!D7</f>
        <v>0.4858665472301574</v>
      </c>
      <c r="I7" s="155">
        <f>(E14/C14)*(H15-H7)*G7*C7</f>
        <v>1407.5403923719111</v>
      </c>
      <c r="J7" s="134">
        <f>I7*0.1</f>
        <v>140.7540392371911</v>
      </c>
      <c r="K7" s="194">
        <f>БО!G7</f>
        <v>0.5012719648909318</v>
      </c>
      <c r="L7" s="194">
        <f>E7+F7+J7</f>
        <v>4599.1827852542965</v>
      </c>
      <c r="M7" s="194">
        <f>(L14/C14)*(1-K7)*G7*C7</f>
        <v>4395.194614504652</v>
      </c>
      <c r="N7" s="195">
        <f>(3240-J14)*M7/M14</f>
        <v>772.8619976703081</v>
      </c>
      <c r="O7" s="196">
        <f>J7+N7</f>
        <v>913.6160369074993</v>
      </c>
      <c r="P7" s="109">
        <v>241.34851528354503</v>
      </c>
      <c r="Q7" s="14">
        <f>O7-P7</f>
        <v>672.2675216239543</v>
      </c>
      <c r="R7" s="134">
        <f>F7+O7</f>
        <v>2279.0447829246045</v>
      </c>
      <c r="S7" s="197">
        <v>2752.61</v>
      </c>
      <c r="T7" s="198">
        <f t="shared" si="0"/>
        <v>-473.5652170753956</v>
      </c>
      <c r="U7" s="198">
        <f t="shared" si="1"/>
        <v>5372.044782924604</v>
      </c>
      <c r="V7" s="197">
        <f t="shared" si="2"/>
        <v>1922.0196003308065</v>
      </c>
      <c r="W7" s="199">
        <f t="shared" si="3"/>
        <v>5064.447512278581</v>
      </c>
      <c r="X7" s="197">
        <f t="shared" si="4"/>
        <v>1811.9669095808874</v>
      </c>
      <c r="Z7" s="200"/>
    </row>
    <row r="8" spans="1:26" ht="37.5" customHeight="1">
      <c r="A8" s="20">
        <v>3</v>
      </c>
      <c r="B8" s="8" t="s">
        <v>9</v>
      </c>
      <c r="C8" s="108">
        <f>'Коэф.масшт.'!C7</f>
        <v>1429</v>
      </c>
      <c r="D8" s="152">
        <f>+'Налоговый потен'!L9</f>
        <v>4516.8451808101945</v>
      </c>
      <c r="E8" s="152">
        <v>5061</v>
      </c>
      <c r="F8" s="154">
        <f>'субв от числ уточ'!D8</f>
        <v>698.1029259600872</v>
      </c>
      <c r="G8" s="155">
        <f>+ИБР!R9</f>
        <v>2.690139010687225</v>
      </c>
      <c r="H8" s="155">
        <f>БО!D8</f>
        <v>0.5302568821315833</v>
      </c>
      <c r="I8" s="155">
        <f>(E14/C14)*(H15-H8)*G8*C8</f>
        <v>1254.2898581296427</v>
      </c>
      <c r="J8" s="134">
        <f>I8*0.1</f>
        <v>125.42898581296427</v>
      </c>
      <c r="K8" s="194">
        <f>БО!G8</f>
        <v>0.5418536404458218</v>
      </c>
      <c r="L8" s="194">
        <f>E8+F8+J8</f>
        <v>5884.531911773051</v>
      </c>
      <c r="M8" s="194">
        <f>(L14/C14)*(1-K8)*G8*C8</f>
        <v>4647.978838316734</v>
      </c>
      <c r="N8" s="195">
        <f>(3240-J14)*M8/M14</f>
        <v>817.3122068943114</v>
      </c>
      <c r="O8" s="196">
        <f>J8+N8</f>
        <v>942.7411927072757</v>
      </c>
      <c r="P8" s="109">
        <v>941.1911940223606</v>
      </c>
      <c r="Q8" s="14">
        <f>O8-P8</f>
        <v>1.5499986849150673</v>
      </c>
      <c r="R8" s="134">
        <f>F8+O8</f>
        <v>1640.8441186673629</v>
      </c>
      <c r="S8" s="197">
        <v>1495.48</v>
      </c>
      <c r="T8" s="198">
        <f t="shared" si="0"/>
        <v>145.36411866736285</v>
      </c>
      <c r="U8" s="198">
        <f t="shared" si="1"/>
        <v>6701.844118667363</v>
      </c>
      <c r="V8" s="197">
        <f t="shared" si="2"/>
        <v>4689.883917891787</v>
      </c>
      <c r="W8" s="199">
        <f t="shared" si="3"/>
        <v>6157.689299477557</v>
      </c>
      <c r="X8" s="197">
        <f t="shared" si="4"/>
        <v>4309.089782699481</v>
      </c>
      <c r="Z8" s="200"/>
    </row>
    <row r="9" spans="1:26" ht="30" customHeight="1">
      <c r="A9" s="20">
        <v>4</v>
      </c>
      <c r="B9" s="8" t="s">
        <v>10</v>
      </c>
      <c r="C9" s="108">
        <f>'Коэф.масшт.'!C8</f>
        <v>2010</v>
      </c>
      <c r="D9" s="152">
        <f>+'Налоговый потен'!L10</f>
        <v>4432.809538335237</v>
      </c>
      <c r="E9" s="152">
        <v>4506</v>
      </c>
      <c r="F9" s="154">
        <f>'субв от числ уточ'!D9</f>
        <v>981.9362359550561</v>
      </c>
      <c r="G9" s="155">
        <f>+ИБР!R10</f>
        <v>1.5594575152897405</v>
      </c>
      <c r="H9" s="155">
        <f>БО!D9</f>
        <v>0.6752300161529482</v>
      </c>
      <c r="I9" s="155">
        <f>(E14/C14)*(H15-H9)*G9*C9</f>
        <v>47.9557126574208</v>
      </c>
      <c r="J9" s="134">
        <v>0</v>
      </c>
      <c r="K9" s="194">
        <f>БО!G9</f>
        <v>0.67379143848196</v>
      </c>
      <c r="L9" s="194">
        <f>E9+F9+J9</f>
        <v>5487.936235955056</v>
      </c>
      <c r="M9" s="194">
        <f>(L14/C14)*(1-K9)*G9*C9</f>
        <v>2698.471969325679</v>
      </c>
      <c r="N9" s="195">
        <f>(3240-J14)*M9/M14</f>
        <v>474.50605030954245</v>
      </c>
      <c r="O9" s="196">
        <f>J9+N9</f>
        <v>474.50605030954245</v>
      </c>
      <c r="P9" s="109">
        <v>125.43453098840365</v>
      </c>
      <c r="Q9" s="14">
        <f>O9-P9</f>
        <v>349.0715193211388</v>
      </c>
      <c r="R9" s="134">
        <f>F9+O9</f>
        <v>1456.4422862645986</v>
      </c>
      <c r="S9" s="197">
        <v>592.26</v>
      </c>
      <c r="T9" s="198">
        <f t="shared" si="0"/>
        <v>864.1822862645986</v>
      </c>
      <c r="U9" s="198">
        <f t="shared" si="1"/>
        <v>5962.442286264599</v>
      </c>
      <c r="V9" s="197">
        <f t="shared" si="2"/>
        <v>2966.3891971465664</v>
      </c>
      <c r="W9" s="199">
        <f t="shared" si="3"/>
        <v>5889.251824599836</v>
      </c>
      <c r="X9" s="197">
        <f t="shared" si="4"/>
        <v>2929.976032139222</v>
      </c>
      <c r="Z9" s="200"/>
    </row>
    <row r="10" spans="1:26" ht="33.75" customHeight="1">
      <c r="A10" s="20">
        <v>5</v>
      </c>
      <c r="B10" s="8" t="s">
        <v>11</v>
      </c>
      <c r="C10" s="108">
        <f>'Коэф.масшт.'!C9</f>
        <v>1417</v>
      </c>
      <c r="D10" s="152">
        <f>+'Налоговый потен'!L11</f>
        <v>2392.015486580396</v>
      </c>
      <c r="E10" s="152">
        <v>2658</v>
      </c>
      <c r="F10" s="154">
        <f>'субв от числ уточ'!D10</f>
        <v>692.2406200737884</v>
      </c>
      <c r="G10" s="155">
        <f>+ИБР!R11</f>
        <v>2.0293841997225917</v>
      </c>
      <c r="H10" s="155">
        <f>БО!D10</f>
        <v>0.41923697837013413</v>
      </c>
      <c r="I10" s="155">
        <f>(E14/C14)*(H15-H10)*G10*C10</f>
        <v>1623.0919774980969</v>
      </c>
      <c r="J10" s="134">
        <f>I10*0.1</f>
        <v>162.3091977498097</v>
      </c>
      <c r="K10" s="194">
        <f>БО!G10</f>
        <v>0.4403591659259298</v>
      </c>
      <c r="L10" s="194">
        <f>E10+F10+J10</f>
        <v>3512.549817823598</v>
      </c>
      <c r="M10" s="194">
        <f>(L14/C14)*(1-K10)*G10*C10</f>
        <v>4247.138963987174</v>
      </c>
      <c r="N10" s="195">
        <f>(3240-J14)*M10/M14</f>
        <v>746.8275223258731</v>
      </c>
      <c r="O10" s="196">
        <f>J10+N10</f>
        <v>909.1367200756829</v>
      </c>
      <c r="P10" s="109">
        <v>541.2806891713745</v>
      </c>
      <c r="Q10" s="14">
        <f>O10-P10</f>
        <v>367.85603090430834</v>
      </c>
      <c r="R10" s="134">
        <f>F10+O10</f>
        <v>1601.3773401494714</v>
      </c>
      <c r="S10" s="197">
        <v>1268.9</v>
      </c>
      <c r="T10" s="198">
        <f t="shared" si="0"/>
        <v>332.4773401494713</v>
      </c>
      <c r="U10" s="198">
        <f t="shared" si="1"/>
        <v>4259.377340149471</v>
      </c>
      <c r="V10" s="197">
        <f t="shared" si="2"/>
        <v>3005.9120255112707</v>
      </c>
      <c r="W10" s="199">
        <f t="shared" si="3"/>
        <v>3993.3928267298675</v>
      </c>
      <c r="X10" s="197">
        <f t="shared" si="4"/>
        <v>2818.2024182991304</v>
      </c>
      <c r="Z10" s="200"/>
    </row>
    <row r="11" spans="1:26" ht="12.75">
      <c r="A11" s="20"/>
      <c r="B11" s="8"/>
      <c r="C11" s="108"/>
      <c r="D11" s="152">
        <f>+'Налоговый потен'!L12</f>
        <v>0</v>
      </c>
      <c r="E11" s="152"/>
      <c r="F11" s="154"/>
      <c r="G11" s="155"/>
      <c r="H11" s="155"/>
      <c r="I11" s="155"/>
      <c r="J11" s="134"/>
      <c r="K11" s="194"/>
      <c r="L11" s="194"/>
      <c r="M11" s="194"/>
      <c r="N11" s="195"/>
      <c r="O11" s="196"/>
      <c r="P11" s="109"/>
      <c r="Q11" s="14"/>
      <c r="R11" s="134"/>
      <c r="S11" s="197">
        <v>911.81</v>
      </c>
      <c r="T11" s="198">
        <f t="shared" si="0"/>
        <v>-911.81</v>
      </c>
      <c r="U11" s="198">
        <f t="shared" si="1"/>
        <v>0</v>
      </c>
      <c r="V11" s="197" t="e">
        <f t="shared" si="2"/>
        <v>#DIV/0!</v>
      </c>
      <c r="W11" s="199">
        <f t="shared" si="3"/>
        <v>0</v>
      </c>
      <c r="X11" s="197" t="e">
        <f t="shared" si="4"/>
        <v>#DIV/0!</v>
      </c>
      <c r="Z11" s="200"/>
    </row>
    <row r="12" spans="1:26" ht="12.75">
      <c r="A12" s="20"/>
      <c r="B12" s="8"/>
      <c r="C12" s="108"/>
      <c r="D12" s="152">
        <f>+'Налоговый потен'!L13</f>
        <v>0</v>
      </c>
      <c r="E12" s="152"/>
      <c r="F12" s="154"/>
      <c r="G12" s="155"/>
      <c r="H12" s="155"/>
      <c r="I12" s="155"/>
      <c r="J12" s="134"/>
      <c r="K12" s="194"/>
      <c r="L12" s="194"/>
      <c r="M12" s="194"/>
      <c r="N12" s="195"/>
      <c r="O12" s="196"/>
      <c r="P12" s="109"/>
      <c r="Q12" s="14"/>
      <c r="R12" s="134"/>
      <c r="S12" s="197">
        <v>1584.47</v>
      </c>
      <c r="T12" s="198">
        <f t="shared" si="0"/>
        <v>-1584.47</v>
      </c>
      <c r="U12" s="198">
        <f t="shared" si="1"/>
        <v>0</v>
      </c>
      <c r="V12" s="197" t="e">
        <f t="shared" si="2"/>
        <v>#DIV/0!</v>
      </c>
      <c r="W12" s="199">
        <f t="shared" si="3"/>
        <v>0</v>
      </c>
      <c r="X12" s="197" t="e">
        <f t="shared" si="4"/>
        <v>#DIV/0!</v>
      </c>
      <c r="Z12" s="200"/>
    </row>
    <row r="13" spans="1:26" ht="36" customHeight="1">
      <c r="A13" s="20"/>
      <c r="B13" s="8"/>
      <c r="C13" s="108"/>
      <c r="D13" s="152">
        <f>+'Налоговый потен'!L14</f>
        <v>0</v>
      </c>
      <c r="E13" s="152"/>
      <c r="F13" s="154"/>
      <c r="G13" s="155"/>
      <c r="H13" s="155"/>
      <c r="I13" s="155"/>
      <c r="J13" s="134"/>
      <c r="K13" s="194"/>
      <c r="L13" s="194"/>
      <c r="M13" s="194"/>
      <c r="N13" s="195"/>
      <c r="O13" s="196"/>
      <c r="P13" s="109"/>
      <c r="Q13" s="14"/>
      <c r="R13" s="134"/>
      <c r="S13" s="197">
        <v>1199.66</v>
      </c>
      <c r="T13" s="198">
        <f t="shared" si="0"/>
        <v>-1199.66</v>
      </c>
      <c r="U13" s="198">
        <f t="shared" si="1"/>
        <v>0</v>
      </c>
      <c r="V13" s="197" t="e">
        <f t="shared" si="2"/>
        <v>#DIV/0!</v>
      </c>
      <c r="W13" s="199">
        <f t="shared" si="3"/>
        <v>0</v>
      </c>
      <c r="X13" s="197" t="e">
        <f t="shared" si="4"/>
        <v>#DIV/0!</v>
      </c>
      <c r="Z13" s="200"/>
    </row>
    <row r="14" spans="1:26" ht="12.75">
      <c r="A14" s="20"/>
      <c r="B14" s="23" t="s">
        <v>12</v>
      </c>
      <c r="C14" s="111">
        <f>SUM(C6:C13)</f>
        <v>11926</v>
      </c>
      <c r="D14" s="109">
        <f>SUM(D6:D13)</f>
        <v>24684.5</v>
      </c>
      <c r="E14" s="109">
        <f>SUM(E6:E13)</f>
        <v>25582.4</v>
      </c>
      <c r="F14" s="154">
        <f>SUM(F6:F13)</f>
        <v>5826.155</v>
      </c>
      <c r="G14" s="155">
        <f>+ИБР!R15</f>
        <v>0.86</v>
      </c>
      <c r="H14" s="109"/>
      <c r="I14" s="109">
        <f>SUM(I6:I10)</f>
        <v>699.3731172641889</v>
      </c>
      <c r="J14" s="109">
        <f>+J8+J9+J10+J7</f>
        <v>428.49222279996513</v>
      </c>
      <c r="K14" s="194"/>
      <c r="L14" s="109">
        <f>SUM(L6:L10)</f>
        <v>31473.696740460673</v>
      </c>
      <c r="M14" s="109">
        <f>SUM(M7:M10)</f>
        <v>15988.784386134239</v>
      </c>
      <c r="N14" s="201">
        <f>SUM(N7:N10)</f>
        <v>2811.507777200035</v>
      </c>
      <c r="O14" s="196">
        <f>SUM(O7:O10)</f>
        <v>3240</v>
      </c>
      <c r="P14" s="109">
        <f>SUM(P6:P13)</f>
        <v>1849.2549294656837</v>
      </c>
      <c r="Q14" s="109">
        <f>SUM(Q6:Q13)</f>
        <v>1013.8711997742184</v>
      </c>
      <c r="R14" s="109">
        <f>SUM(R6:R13)</f>
        <v>9066.155</v>
      </c>
      <c r="S14" s="112">
        <f>SUM(S6:S13)</f>
        <v>13810.38</v>
      </c>
      <c r="T14" s="198">
        <f t="shared" si="0"/>
        <v>-4744.2249999999985</v>
      </c>
      <c r="U14" s="197">
        <f t="shared" si="1"/>
        <v>34648.555</v>
      </c>
      <c r="V14" s="197">
        <f t="shared" si="2"/>
        <v>2905.2955726983064</v>
      </c>
      <c r="W14" s="197">
        <f>SUM(W6:W13)</f>
        <v>33750.655</v>
      </c>
      <c r="X14" s="197">
        <f t="shared" si="4"/>
        <v>2830.006288780815</v>
      </c>
      <c r="Z14" s="200"/>
    </row>
    <row r="15" spans="1:24" ht="25.5">
      <c r="A15" s="20"/>
      <c r="B15" s="8"/>
      <c r="C15" s="109"/>
      <c r="D15" s="109"/>
      <c r="E15" s="109"/>
      <c r="F15" s="154"/>
      <c r="G15" s="155" t="s">
        <v>154</v>
      </c>
      <c r="H15" s="155">
        <f>БО!D15</f>
        <v>0.6823622284859964</v>
      </c>
      <c r="I15" s="155"/>
      <c r="J15" s="202" t="s">
        <v>155</v>
      </c>
      <c r="K15" s="133">
        <f>+БО!G15</f>
        <v>0.64925038864805</v>
      </c>
      <c r="L15" s="133">
        <v>1</v>
      </c>
      <c r="M15" s="133"/>
      <c r="N15" s="133">
        <f>+N16-J14</f>
        <v>2811.507777200035</v>
      </c>
      <c r="O15" s="154">
        <v>3240</v>
      </c>
      <c r="P15" s="109"/>
      <c r="Q15" s="14"/>
      <c r="R15" s="134"/>
      <c r="S15" s="193"/>
      <c r="T15" s="193"/>
      <c r="U15" s="197">
        <f>E14+F14+O14</f>
        <v>34648.555</v>
      </c>
      <c r="V15" s="193"/>
      <c r="W15" s="36"/>
      <c r="X15" s="197"/>
    </row>
    <row r="16" spans="2:24" ht="21" customHeight="1">
      <c r="B16" s="19"/>
      <c r="C16" s="40"/>
      <c r="D16" s="40"/>
      <c r="H16" s="95"/>
      <c r="I16" s="40"/>
      <c r="J16" s="175"/>
      <c r="K16" s="203" t="s">
        <v>156</v>
      </c>
      <c r="L16" s="203"/>
      <c r="M16" s="203"/>
      <c r="N16" s="203">
        <v>3240</v>
      </c>
      <c r="O16" s="171"/>
      <c r="P16" s="177"/>
      <c r="Q16" s="143"/>
      <c r="R16" s="172"/>
      <c r="V16" s="116"/>
      <c r="W16" s="172"/>
      <c r="X16"/>
    </row>
    <row r="17" spans="2:9" ht="12.75" customHeight="1" hidden="1">
      <c r="B17" s="274"/>
      <c r="C17" s="274"/>
      <c r="D17" s="274"/>
      <c r="E17" s="274"/>
      <c r="I17" s="22">
        <f>+(E14/C14)*G6*H15*C6</f>
        <v>6969.735099537411</v>
      </c>
    </row>
    <row r="18" ht="12.75" hidden="1">
      <c r="I18" s="22">
        <f>+(E14/C14)*G7*H15*C7</f>
        <v>4887.90589535876</v>
      </c>
    </row>
    <row r="19" ht="12.75" hidden="1"/>
  </sheetData>
  <sheetProtection selectLockedCells="1" selectUnlockedCells="1"/>
  <mergeCells count="2">
    <mergeCell ref="A2:R2"/>
    <mergeCell ref="B17:E17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62" r:id="rId1"/>
  <colBreaks count="1" manualBreakCount="1">
    <brk id="1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I31" sqref="I31"/>
    </sheetView>
  </sheetViews>
  <sheetFormatPr defaultColWidth="9.00390625" defaultRowHeight="12.75"/>
  <cols>
    <col min="1" max="1" width="5.625" style="51" customWidth="1"/>
    <col min="2" max="2" width="26.625" style="51" customWidth="1"/>
    <col min="3" max="3" width="13.75390625" style="204" customWidth="1"/>
    <col min="4" max="4" width="14.875" style="171" customWidth="1"/>
    <col min="5" max="5" width="12.75390625" style="51" customWidth="1"/>
    <col min="6" max="6" width="12.375" style="51" customWidth="1"/>
    <col min="7" max="7" width="14.125" style="171" customWidth="1"/>
    <col min="8" max="8" width="13.00390625" style="171" customWidth="1"/>
    <col min="9" max="9" width="14.375" style="205" customWidth="1"/>
    <col min="10" max="10" width="13.625" style="51" customWidth="1"/>
    <col min="11" max="11" width="12.875" style="51" customWidth="1"/>
    <col min="12" max="12" width="11.375" style="51" customWidth="1"/>
    <col min="13" max="13" width="9.125" style="51" customWidth="1"/>
    <col min="14" max="14" width="12.375" style="51" hidden="1" customWidth="1"/>
    <col min="15" max="16384" width="9.125" style="51" customWidth="1"/>
  </cols>
  <sheetData>
    <row r="1" ht="12.75">
      <c r="I1" s="205" t="s">
        <v>157</v>
      </c>
    </row>
    <row r="2" spans="1:11" ht="59.25" customHeight="1">
      <c r="A2" s="275" t="s">
        <v>177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 customHeight="1">
      <c r="A3" s="271" t="s">
        <v>1</v>
      </c>
      <c r="B3" s="271" t="s">
        <v>2</v>
      </c>
      <c r="C3" s="276" t="s">
        <v>158</v>
      </c>
      <c r="D3" s="276"/>
      <c r="E3" s="276"/>
      <c r="F3" s="276" t="s">
        <v>159</v>
      </c>
      <c r="G3" s="276"/>
      <c r="H3" s="206"/>
      <c r="I3" s="277" t="s">
        <v>160</v>
      </c>
      <c r="J3" s="277"/>
      <c r="K3" s="207"/>
    </row>
    <row r="4" spans="1:11" ht="54.75" customHeight="1">
      <c r="A4" s="271"/>
      <c r="B4" s="271"/>
      <c r="C4" s="208" t="s">
        <v>178</v>
      </c>
      <c r="D4" s="208" t="s">
        <v>188</v>
      </c>
      <c r="E4" s="17" t="s">
        <v>163</v>
      </c>
      <c r="F4" s="208" t="s">
        <v>178</v>
      </c>
      <c r="G4" s="208" t="s">
        <v>188</v>
      </c>
      <c r="H4" s="17" t="s">
        <v>163</v>
      </c>
      <c r="I4" s="208" t="s">
        <v>189</v>
      </c>
      <c r="J4" s="209" t="s">
        <v>188</v>
      </c>
      <c r="K4" s="17" t="s">
        <v>163</v>
      </c>
    </row>
    <row r="5" spans="1:14" ht="25.5">
      <c r="A5" s="207">
        <v>1</v>
      </c>
      <c r="B5" s="8" t="s">
        <v>7</v>
      </c>
      <c r="C5" s="210">
        <v>1903.702</v>
      </c>
      <c r="D5" s="210">
        <f>'субв от числ уточ'!D6</f>
        <v>2088.446471993963</v>
      </c>
      <c r="E5" s="210">
        <f>D5-C5</f>
        <v>184.74447199396286</v>
      </c>
      <c r="F5" s="210">
        <v>0</v>
      </c>
      <c r="G5" s="242">
        <v>0</v>
      </c>
      <c r="H5" s="210">
        <f>+G5-F5</f>
        <v>0</v>
      </c>
      <c r="I5" s="210">
        <f aca="true" t="shared" si="0" ref="I5:J9">C5+F5</f>
        <v>1903.702</v>
      </c>
      <c r="J5" s="210">
        <f t="shared" si="0"/>
        <v>2088.446471993963</v>
      </c>
      <c r="K5" s="210">
        <f>J5-I5</f>
        <v>184.74447199396286</v>
      </c>
      <c r="N5" s="74">
        <v>325.81391</v>
      </c>
    </row>
    <row r="6" spans="1:14" ht="25.5">
      <c r="A6" s="207">
        <v>2</v>
      </c>
      <c r="B6" s="8" t="s">
        <v>8</v>
      </c>
      <c r="C6" s="210">
        <v>1264.014</v>
      </c>
      <c r="D6" s="210">
        <f>'субв от числ уточ'!D7</f>
        <v>1365.4287460171054</v>
      </c>
      <c r="E6" s="210">
        <f>D6-C6</f>
        <v>101.41474601710547</v>
      </c>
      <c r="F6" s="210">
        <v>956.1</v>
      </c>
      <c r="G6" s="242">
        <f>'Дотац 4000'!O7</f>
        <v>913.6160369074993</v>
      </c>
      <c r="H6" s="210">
        <f>+G6-F6</f>
        <v>-42.483963092500744</v>
      </c>
      <c r="I6" s="210">
        <f t="shared" si="0"/>
        <v>2220.114</v>
      </c>
      <c r="J6" s="210">
        <f t="shared" si="0"/>
        <v>2279.0447829246045</v>
      </c>
      <c r="K6" s="210">
        <f>J6-I6</f>
        <v>58.9307829246045</v>
      </c>
      <c r="L6" s="74"/>
      <c r="N6" s="74">
        <v>385.45358</v>
      </c>
    </row>
    <row r="7" spans="1:14" ht="25.5">
      <c r="A7" s="207">
        <v>3</v>
      </c>
      <c r="B7" s="8" t="s">
        <v>9</v>
      </c>
      <c r="C7" s="210">
        <v>643.956</v>
      </c>
      <c r="D7" s="210">
        <f>'субв от числ уточ'!D8</f>
        <v>698.1029259600872</v>
      </c>
      <c r="E7" s="210">
        <f>D7-C7</f>
        <v>54.146925960087174</v>
      </c>
      <c r="F7" s="210">
        <v>760.7</v>
      </c>
      <c r="G7" s="242">
        <f>'Дотац 4000'!O8</f>
        <v>942.7411927072757</v>
      </c>
      <c r="H7" s="210">
        <f>+G7-F7</f>
        <v>182.04119270727563</v>
      </c>
      <c r="I7" s="210">
        <f t="shared" si="0"/>
        <v>1404.656</v>
      </c>
      <c r="J7" s="210">
        <f t="shared" si="0"/>
        <v>1640.8441186673629</v>
      </c>
      <c r="K7" s="210">
        <f>J7-I7</f>
        <v>236.18811866736291</v>
      </c>
      <c r="N7" s="74">
        <v>1150.84672</v>
      </c>
    </row>
    <row r="8" spans="1:14" ht="25.5">
      <c r="A8" s="207">
        <v>4</v>
      </c>
      <c r="B8" s="8" t="s">
        <v>10</v>
      </c>
      <c r="C8" s="210">
        <v>945.236</v>
      </c>
      <c r="D8" s="210">
        <f>'субв от числ уточ'!D9</f>
        <v>981.9362359550561</v>
      </c>
      <c r="E8" s="210">
        <f>D8-C8</f>
        <v>36.70023595505609</v>
      </c>
      <c r="F8" s="210">
        <v>540</v>
      </c>
      <c r="G8" s="242">
        <f>'Дотац 4000'!O9</f>
        <v>474.50605030954245</v>
      </c>
      <c r="H8" s="210">
        <f>+G8-F8</f>
        <v>-65.49394969045755</v>
      </c>
      <c r="I8" s="210">
        <f t="shared" si="0"/>
        <v>1485.2359999999999</v>
      </c>
      <c r="J8" s="210">
        <f t="shared" si="0"/>
        <v>1456.4422862645986</v>
      </c>
      <c r="K8" s="210">
        <f>J8-I8</f>
        <v>-28.793713735401298</v>
      </c>
      <c r="N8" s="74">
        <v>969.6078</v>
      </c>
    </row>
    <row r="9" spans="1:14" ht="25.5">
      <c r="A9" s="207">
        <v>5</v>
      </c>
      <c r="B9" s="8" t="s">
        <v>11</v>
      </c>
      <c r="C9" s="210">
        <v>635.847</v>
      </c>
      <c r="D9" s="210">
        <f>'субв от числ уточ'!D10</f>
        <v>692.2406200737884</v>
      </c>
      <c r="E9" s="210">
        <f>D9-C9</f>
        <v>56.393620073788384</v>
      </c>
      <c r="F9" s="210">
        <v>740.7</v>
      </c>
      <c r="G9" s="242">
        <f>'Дотац 4000'!O10</f>
        <v>909.1367200756829</v>
      </c>
      <c r="H9" s="210">
        <f>+G9-F9</f>
        <v>168.43672007568284</v>
      </c>
      <c r="I9" s="210">
        <f t="shared" si="0"/>
        <v>1376.547</v>
      </c>
      <c r="J9" s="210">
        <f t="shared" si="0"/>
        <v>1601.3773401494714</v>
      </c>
      <c r="K9" s="210">
        <f>J9-I9</f>
        <v>224.83034014947134</v>
      </c>
      <c r="N9" s="74">
        <v>742.22817</v>
      </c>
    </row>
    <row r="10" spans="1:14" ht="12.75">
      <c r="A10" s="207"/>
      <c r="B10" s="16"/>
      <c r="C10" s="211"/>
      <c r="D10" s="210"/>
      <c r="E10" s="210"/>
      <c r="F10" s="210"/>
      <c r="G10" s="210"/>
      <c r="H10" s="210"/>
      <c r="I10" s="210"/>
      <c r="J10" s="210"/>
      <c r="K10" s="210"/>
      <c r="N10" s="74">
        <v>308.75746</v>
      </c>
    </row>
    <row r="11" spans="1:14" ht="12.75">
      <c r="A11" s="207"/>
      <c r="B11" s="16"/>
      <c r="C11" s="211"/>
      <c r="D11" s="210"/>
      <c r="E11" s="210"/>
      <c r="F11" s="210"/>
      <c r="G11" s="210"/>
      <c r="H11" s="210"/>
      <c r="I11" s="210"/>
      <c r="J11" s="210"/>
      <c r="K11" s="210"/>
      <c r="N11" s="74">
        <v>750.51896</v>
      </c>
    </row>
    <row r="12" spans="1:14" ht="12.75">
      <c r="A12" s="207"/>
      <c r="B12" s="16"/>
      <c r="C12" s="211"/>
      <c r="D12" s="210"/>
      <c r="E12" s="210"/>
      <c r="F12" s="210"/>
      <c r="G12" s="210"/>
      <c r="H12" s="210"/>
      <c r="I12" s="210"/>
      <c r="J12" s="210"/>
      <c r="K12" s="210"/>
      <c r="N12" s="74">
        <v>77.3734</v>
      </c>
    </row>
    <row r="13" spans="1:14" ht="12.75">
      <c r="A13" s="207"/>
      <c r="B13" s="17" t="s">
        <v>12</v>
      </c>
      <c r="C13" s="212">
        <f>SUM(C5:C12)</f>
        <v>5392.755</v>
      </c>
      <c r="D13" s="212">
        <f>SUM(D5:D12)</f>
        <v>5826.155</v>
      </c>
      <c r="E13" s="212">
        <f>SUM(E5:E12)</f>
        <v>433.4</v>
      </c>
      <c r="F13" s="212">
        <f>SUM(F5:F12)</f>
        <v>2997.5</v>
      </c>
      <c r="G13" s="243">
        <f>SUM(G5:G12)+0.00001</f>
        <v>3240.00001</v>
      </c>
      <c r="H13" s="212">
        <f>+G13-F13</f>
        <v>242.5000100000002</v>
      </c>
      <c r="I13" s="212">
        <f>SUM(I5:I12)</f>
        <v>8390.255</v>
      </c>
      <c r="J13" s="212">
        <f>SUM(J5:J12)</f>
        <v>9066.155</v>
      </c>
      <c r="K13" s="212">
        <f>J13-I13</f>
        <v>675.9000000000015</v>
      </c>
      <c r="N13" s="74">
        <f>SUM(N5:N12)</f>
        <v>4710.6</v>
      </c>
    </row>
    <row r="14" spans="2:11" ht="12.75">
      <c r="B14" s="213"/>
      <c r="C14" s="214"/>
      <c r="D14" s="215"/>
      <c r="E14" s="216"/>
      <c r="F14" s="216"/>
      <c r="G14" s="215"/>
      <c r="H14" s="215"/>
      <c r="I14" s="216"/>
      <c r="J14" s="216"/>
      <c r="K14" s="216"/>
    </row>
    <row r="15" spans="2:11" ht="12.75" hidden="1">
      <c r="B15" s="213"/>
      <c r="C15" s="214" t="s">
        <v>95</v>
      </c>
      <c r="D15" s="217">
        <v>11126.11</v>
      </c>
      <c r="E15" s="216"/>
      <c r="F15" s="216"/>
      <c r="G15" s="217">
        <v>4500</v>
      </c>
      <c r="H15" s="217"/>
      <c r="I15" s="216"/>
      <c r="J15" s="216"/>
      <c r="K15" s="216"/>
    </row>
    <row r="16" spans="2:9" ht="24.75" customHeight="1" hidden="1">
      <c r="B16" s="171"/>
      <c r="C16" s="171" t="s">
        <v>96</v>
      </c>
      <c r="D16" s="217">
        <f>11649-3.245</f>
        <v>11645.755</v>
      </c>
      <c r="E16" s="88"/>
      <c r="F16" s="88"/>
      <c r="G16" s="217">
        <f>4500*D17/100</f>
        <v>4710.172513124532</v>
      </c>
      <c r="H16" s="217"/>
      <c r="I16" s="171"/>
    </row>
    <row r="17" ht="12.75" hidden="1">
      <c r="D17" s="171">
        <f>+D16/D15*100</f>
        <v>104.67050029165628</v>
      </c>
    </row>
    <row r="18" spans="3:8" ht="12.75" hidden="1">
      <c r="C18" s="171" t="s">
        <v>164</v>
      </c>
      <c r="D18" s="217">
        <f>12111-3.245</f>
        <v>12107.755</v>
      </c>
      <c r="E18" s="88"/>
      <c r="F18" s="88"/>
      <c r="G18" s="217">
        <f>+G16*D19/100</f>
        <v>9788.550904781303</v>
      </c>
      <c r="H18" s="217"/>
    </row>
    <row r="19" ht="12.75" hidden="1">
      <c r="D19" s="171">
        <f>+D18/D13*100</f>
        <v>207.81724825377972</v>
      </c>
    </row>
    <row r="20" spans="3:8" ht="12.75" hidden="1">
      <c r="C20" s="171" t="s">
        <v>165</v>
      </c>
      <c r="D20" s="217">
        <f>9894.7-3.245</f>
        <v>9891.455</v>
      </c>
      <c r="E20" s="88"/>
      <c r="F20" s="88"/>
      <c r="G20" s="217">
        <f>+G18*D21/100</f>
        <v>7996.7765114055865</v>
      </c>
      <c r="H20" s="217"/>
    </row>
    <row r="21" ht="12.75" hidden="1">
      <c r="D21" s="171">
        <f>+D20/D18*100</f>
        <v>81.69520278532231</v>
      </c>
    </row>
  </sheetData>
  <sheetProtection selectLockedCells="1" selectUnlockedCells="1"/>
  <mergeCells count="6">
    <mergeCell ref="A2:K2"/>
    <mergeCell ref="A3:A4"/>
    <mergeCell ref="B3:B4"/>
    <mergeCell ref="C3:E3"/>
    <mergeCell ref="F3:G3"/>
    <mergeCell ref="I3:J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1"/>
  </sheetPr>
  <dimension ref="A1:H14"/>
  <sheetViews>
    <sheetView zoomScalePageLayoutView="0" workbookViewId="0" topLeftCell="A1">
      <selection activeCell="M16" sqref="M16"/>
    </sheetView>
  </sheetViews>
  <sheetFormatPr defaultColWidth="9.00390625" defaultRowHeight="12.75"/>
  <cols>
    <col min="1" max="1" width="5.25390625" style="218" customWidth="1"/>
    <col min="2" max="2" width="31.875" style="218" customWidth="1"/>
    <col min="3" max="8" width="13.375" style="218" customWidth="1"/>
    <col min="9" max="16384" width="9.125" style="218" customWidth="1"/>
  </cols>
  <sheetData>
    <row r="1" spans="4:7" ht="15.75">
      <c r="D1" s="219"/>
      <c r="G1" s="219" t="s">
        <v>166</v>
      </c>
    </row>
    <row r="2" spans="1:8" ht="42.75" customHeight="1">
      <c r="A2" s="278" t="s">
        <v>185</v>
      </c>
      <c r="B2" s="278"/>
      <c r="C2" s="278"/>
      <c r="D2" s="278"/>
      <c r="E2" s="278"/>
      <c r="F2" s="278"/>
      <c r="G2" s="278"/>
      <c r="H2" s="278"/>
    </row>
    <row r="3" spans="1:8" ht="15.75">
      <c r="A3" s="220"/>
      <c r="B3" s="220"/>
      <c r="C3" s="221"/>
      <c r="D3" s="221"/>
      <c r="E3" s="221"/>
      <c r="F3" s="221"/>
      <c r="G3" s="221"/>
      <c r="H3" s="222" t="s">
        <v>167</v>
      </c>
    </row>
    <row r="4" spans="1:8" s="224" customFormat="1" ht="64.5" customHeight="1">
      <c r="A4" s="279" t="s">
        <v>168</v>
      </c>
      <c r="B4" s="279" t="s">
        <v>169</v>
      </c>
      <c r="C4" s="280" t="s">
        <v>170</v>
      </c>
      <c r="D4" s="280"/>
      <c r="E4" s="280"/>
      <c r="F4" s="280" t="s">
        <v>171</v>
      </c>
      <c r="G4" s="280"/>
      <c r="H4" s="280"/>
    </row>
    <row r="5" spans="1:8" s="224" customFormat="1" ht="21" customHeight="1">
      <c r="A5" s="279"/>
      <c r="B5" s="279"/>
      <c r="C5" s="223" t="s">
        <v>172</v>
      </c>
      <c r="D5" s="223" t="s">
        <v>186</v>
      </c>
      <c r="E5" s="223" t="s">
        <v>187</v>
      </c>
      <c r="F5" s="223" t="s">
        <v>172</v>
      </c>
      <c r="G5" s="223" t="s">
        <v>186</v>
      </c>
      <c r="H5" s="223" t="s">
        <v>187</v>
      </c>
    </row>
    <row r="6" spans="1:8" ht="15.75">
      <c r="A6" s="225">
        <v>1</v>
      </c>
      <c r="B6" s="8" t="s">
        <v>7</v>
      </c>
      <c r="C6" s="226">
        <f>+'субв от числ уточ'!D6</f>
        <v>2088.446471993963</v>
      </c>
      <c r="D6" s="226">
        <f>+'субв от числ уточ'!E6</f>
        <v>2267.139034462519</v>
      </c>
      <c r="E6" s="226">
        <f>+'субв от числ уточ'!F6</f>
        <v>2267.139034462519</v>
      </c>
      <c r="F6" s="226">
        <f>+РФФПП!G5</f>
        <v>0</v>
      </c>
      <c r="G6" s="227">
        <f>+F6</f>
        <v>0</v>
      </c>
      <c r="H6" s="227">
        <f>+F6</f>
        <v>0</v>
      </c>
    </row>
    <row r="7" spans="1:8" ht="15.75">
      <c r="A7" s="225">
        <v>2</v>
      </c>
      <c r="B7" s="8" t="s">
        <v>8</v>
      </c>
      <c r="C7" s="226">
        <f>+'субв от числ уточ'!D7</f>
        <v>1365.4287460171054</v>
      </c>
      <c r="D7" s="226">
        <f>+'субв от числ уточ'!E7</f>
        <v>1482.2581523561964</v>
      </c>
      <c r="E7" s="226">
        <f>+'субв от числ уточ'!F7</f>
        <v>1482.2581523561964</v>
      </c>
      <c r="F7" s="226">
        <f>+РФФПП!G6</f>
        <v>913.6160369074993</v>
      </c>
      <c r="G7" s="227">
        <f>+F7</f>
        <v>913.6160369074993</v>
      </c>
      <c r="H7" s="227">
        <f>+F7</f>
        <v>913.6160369074993</v>
      </c>
    </row>
    <row r="8" spans="1:8" ht="15.75">
      <c r="A8" s="225">
        <v>3</v>
      </c>
      <c r="B8" s="8" t="s">
        <v>9</v>
      </c>
      <c r="C8" s="226">
        <f>+'субв от числ уточ'!D8</f>
        <v>698.1029259600872</v>
      </c>
      <c r="D8" s="226">
        <f>+'субв от числ уточ'!E8</f>
        <v>757.8343111688747</v>
      </c>
      <c r="E8" s="226">
        <f>+'субв от числ уточ'!F8</f>
        <v>757.8343111688747</v>
      </c>
      <c r="F8" s="226">
        <f>+РФФПП!G7</f>
        <v>942.7411927072757</v>
      </c>
      <c r="G8" s="227">
        <f>+F8</f>
        <v>942.7411927072757</v>
      </c>
      <c r="H8" s="227">
        <f>+F8</f>
        <v>942.7411927072757</v>
      </c>
    </row>
    <row r="9" spans="1:8" ht="15.75">
      <c r="A9" s="225">
        <v>4</v>
      </c>
      <c r="B9" s="8" t="s">
        <v>10</v>
      </c>
      <c r="C9" s="226">
        <f>+'субв от числ уточ'!D9</f>
        <v>981.9362359550561</v>
      </c>
      <c r="D9" s="226">
        <f>+'субв от числ уточ'!E9</f>
        <v>1065.9530898876403</v>
      </c>
      <c r="E9" s="226">
        <f>+'субв от числ уточ'!F9</f>
        <v>1065.9530898876403</v>
      </c>
      <c r="F9" s="226">
        <f>+РФФПП!G8</f>
        <v>474.50605030954245</v>
      </c>
      <c r="G9" s="227">
        <f>+F9</f>
        <v>474.50605030954245</v>
      </c>
      <c r="H9" s="227">
        <f>+F9</f>
        <v>474.50605030954245</v>
      </c>
    </row>
    <row r="10" spans="1:8" ht="15.75">
      <c r="A10" s="225">
        <v>5</v>
      </c>
      <c r="B10" s="8" t="s">
        <v>11</v>
      </c>
      <c r="C10" s="226">
        <f>+'субв от числ уточ'!D10</f>
        <v>692.2406200737884</v>
      </c>
      <c r="D10" s="226">
        <f>+'субв от числ уточ'!E10</f>
        <v>751.4704121247694</v>
      </c>
      <c r="E10" s="226">
        <f>+'субв от числ уточ'!F10</f>
        <v>751.4704121247694</v>
      </c>
      <c r="F10" s="226">
        <f>+РФФПП!G9</f>
        <v>909.1367200756829</v>
      </c>
      <c r="G10" s="227">
        <f>+F10</f>
        <v>909.1367200756829</v>
      </c>
      <c r="H10" s="227">
        <f>+F10</f>
        <v>909.1367200756829</v>
      </c>
    </row>
    <row r="11" spans="1:8" ht="15.75">
      <c r="A11" s="225"/>
      <c r="B11" s="228"/>
      <c r="C11" s="226"/>
      <c r="D11" s="226"/>
      <c r="E11" s="226"/>
      <c r="F11" s="226"/>
      <c r="G11" s="227"/>
      <c r="H11" s="227"/>
    </row>
    <row r="12" spans="1:8" ht="15.75">
      <c r="A12" s="225"/>
      <c r="B12" s="228"/>
      <c r="C12" s="226"/>
      <c r="D12" s="226"/>
      <c r="E12" s="226"/>
      <c r="F12" s="226"/>
      <c r="G12" s="227"/>
      <c r="H12" s="227"/>
    </row>
    <row r="13" spans="1:8" ht="15.75">
      <c r="A13" s="225"/>
      <c r="B13" s="228"/>
      <c r="C13" s="226"/>
      <c r="D13" s="226"/>
      <c r="E13" s="226"/>
      <c r="F13" s="226"/>
      <c r="G13" s="227"/>
      <c r="H13" s="227"/>
    </row>
    <row r="14" spans="1:8" ht="15.75">
      <c r="A14" s="225"/>
      <c r="B14" s="229" t="s">
        <v>12</v>
      </c>
      <c r="C14" s="230">
        <f aca="true" t="shared" si="0" ref="C14:H14">SUM(C6:C13)</f>
        <v>5826.155</v>
      </c>
      <c r="D14" s="230">
        <f t="shared" si="0"/>
        <v>6324.655</v>
      </c>
      <c r="E14" s="230">
        <f t="shared" si="0"/>
        <v>6324.655</v>
      </c>
      <c r="F14" s="230">
        <f t="shared" si="0"/>
        <v>3240</v>
      </c>
      <c r="G14" s="230">
        <f t="shared" si="0"/>
        <v>3240</v>
      </c>
      <c r="H14" s="230">
        <f t="shared" si="0"/>
        <v>3240</v>
      </c>
    </row>
    <row r="16" ht="24.75" customHeight="1"/>
  </sheetData>
  <sheetProtection selectLockedCells="1" selectUnlockedCells="1"/>
  <mergeCells count="5">
    <mergeCell ref="A2:H2"/>
    <mergeCell ref="A4:A5"/>
    <mergeCell ref="B4:B5"/>
    <mergeCell ref="C4:E4"/>
    <mergeCell ref="F4:H4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1"/>
  </sheetPr>
  <dimension ref="A1:H14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5.25390625" style="218" customWidth="1"/>
    <col min="2" max="2" width="31.875" style="218" customWidth="1"/>
    <col min="3" max="8" width="13.375" style="218" customWidth="1"/>
    <col min="9" max="16384" width="9.125" style="218" customWidth="1"/>
  </cols>
  <sheetData>
    <row r="1" spans="4:7" ht="15.75">
      <c r="D1" s="219"/>
      <c r="G1" s="219" t="s">
        <v>166</v>
      </c>
    </row>
    <row r="2" spans="1:8" ht="42.75" customHeight="1">
      <c r="A2" s="278" t="s">
        <v>185</v>
      </c>
      <c r="B2" s="278"/>
      <c r="C2" s="278"/>
      <c r="D2" s="278"/>
      <c r="E2" s="278"/>
      <c r="F2" s="278"/>
      <c r="G2" s="278"/>
      <c r="H2" s="278"/>
    </row>
    <row r="3" spans="1:8" ht="15.75">
      <c r="A3" s="220"/>
      <c r="B3" s="220"/>
      <c r="C3" s="221"/>
      <c r="D3" s="221"/>
      <c r="E3" s="221"/>
      <c r="F3" s="221"/>
      <c r="G3" s="221"/>
      <c r="H3" s="222" t="s">
        <v>167</v>
      </c>
    </row>
    <row r="4" spans="1:8" s="224" customFormat="1" ht="64.5" customHeight="1">
      <c r="A4" s="279" t="s">
        <v>168</v>
      </c>
      <c r="B4" s="279" t="s">
        <v>169</v>
      </c>
      <c r="C4" s="280" t="s">
        <v>170</v>
      </c>
      <c r="D4" s="280"/>
      <c r="E4" s="280"/>
      <c r="F4" s="280" t="s">
        <v>171</v>
      </c>
      <c r="G4" s="280"/>
      <c r="H4" s="280"/>
    </row>
    <row r="5" spans="1:8" s="224" customFormat="1" ht="21" customHeight="1">
      <c r="A5" s="279"/>
      <c r="B5" s="279"/>
      <c r="C5" s="223" t="s">
        <v>172</v>
      </c>
      <c r="D5" s="223" t="s">
        <v>186</v>
      </c>
      <c r="E5" s="223" t="s">
        <v>187</v>
      </c>
      <c r="F5" s="223" t="s">
        <v>172</v>
      </c>
      <c r="G5" s="223" t="s">
        <v>186</v>
      </c>
      <c r="H5" s="223" t="s">
        <v>187</v>
      </c>
    </row>
    <row r="6" spans="1:8" ht="15.75">
      <c r="A6" s="225">
        <v>1</v>
      </c>
      <c r="B6" s="8" t="s">
        <v>7</v>
      </c>
      <c r="C6" s="226">
        <v>2088.446</v>
      </c>
      <c r="D6" s="226">
        <v>2267.139</v>
      </c>
      <c r="E6" s="226">
        <v>2267.139</v>
      </c>
      <c r="F6" s="226">
        <v>0</v>
      </c>
      <c r="G6" s="227">
        <v>0</v>
      </c>
      <c r="H6" s="227">
        <v>0</v>
      </c>
    </row>
    <row r="7" spans="1:8" ht="15.75">
      <c r="A7" s="225">
        <v>2</v>
      </c>
      <c r="B7" s="8" t="s">
        <v>8</v>
      </c>
      <c r="C7" s="226">
        <v>1365.428</v>
      </c>
      <c r="D7" s="226">
        <v>1482.258</v>
      </c>
      <c r="E7" s="226">
        <v>1482.258</v>
      </c>
      <c r="F7" s="226">
        <v>913.616</v>
      </c>
      <c r="G7" s="226">
        <v>913.616</v>
      </c>
      <c r="H7" s="226">
        <v>913.616</v>
      </c>
    </row>
    <row r="8" spans="1:8" ht="15.75">
      <c r="A8" s="225">
        <v>3</v>
      </c>
      <c r="B8" s="8" t="s">
        <v>9</v>
      </c>
      <c r="C8" s="226">
        <v>698.103</v>
      </c>
      <c r="D8" s="226">
        <v>757.834</v>
      </c>
      <c r="E8" s="226">
        <v>757.834</v>
      </c>
      <c r="F8" s="226">
        <v>942.741</v>
      </c>
      <c r="G8" s="226">
        <v>942.741</v>
      </c>
      <c r="H8" s="226">
        <v>942.741</v>
      </c>
    </row>
    <row r="9" spans="1:8" ht="15.75">
      <c r="A9" s="225">
        <v>4</v>
      </c>
      <c r="B9" s="8" t="s">
        <v>10</v>
      </c>
      <c r="C9" s="226">
        <v>981.936</v>
      </c>
      <c r="D9" s="226">
        <v>1065.954</v>
      </c>
      <c r="E9" s="226">
        <v>1065.954</v>
      </c>
      <c r="F9" s="226">
        <v>474.506</v>
      </c>
      <c r="G9" s="226">
        <v>474.506</v>
      </c>
      <c r="H9" s="226">
        <v>474.506</v>
      </c>
    </row>
    <row r="10" spans="1:8" ht="15.75">
      <c r="A10" s="225">
        <v>5</v>
      </c>
      <c r="B10" s="8" t="s">
        <v>11</v>
      </c>
      <c r="C10" s="226">
        <v>692.242</v>
      </c>
      <c r="D10" s="226">
        <v>751.47</v>
      </c>
      <c r="E10" s="226">
        <v>751.47</v>
      </c>
      <c r="F10" s="226">
        <v>909.137</v>
      </c>
      <c r="G10" s="226">
        <v>909.137</v>
      </c>
      <c r="H10" s="226">
        <v>909.137</v>
      </c>
    </row>
    <row r="11" spans="1:8" ht="15.75">
      <c r="A11" s="225"/>
      <c r="B11" s="228"/>
      <c r="C11" s="226"/>
      <c r="D11" s="226"/>
      <c r="E11" s="226"/>
      <c r="F11" s="226"/>
      <c r="G11" s="227"/>
      <c r="H11" s="227"/>
    </row>
    <row r="12" spans="1:8" ht="15.75">
      <c r="A12" s="225"/>
      <c r="B12" s="228"/>
      <c r="C12" s="226"/>
      <c r="D12" s="226"/>
      <c r="E12" s="226"/>
      <c r="F12" s="226"/>
      <c r="G12" s="227"/>
      <c r="H12" s="227"/>
    </row>
    <row r="13" spans="1:8" ht="15.75">
      <c r="A13" s="225"/>
      <c r="B13" s="228"/>
      <c r="C13" s="226"/>
      <c r="D13" s="226"/>
      <c r="E13" s="226"/>
      <c r="F13" s="226"/>
      <c r="G13" s="227"/>
      <c r="H13" s="227"/>
    </row>
    <row r="14" spans="1:8" ht="15.75">
      <c r="A14" s="225"/>
      <c r="B14" s="229" t="s">
        <v>12</v>
      </c>
      <c r="C14" s="230">
        <f aca="true" t="shared" si="0" ref="C14:H14">SUM(C6:C13)</f>
        <v>5826.155</v>
      </c>
      <c r="D14" s="230">
        <f t="shared" si="0"/>
        <v>6324.655</v>
      </c>
      <c r="E14" s="230">
        <f t="shared" si="0"/>
        <v>6324.655</v>
      </c>
      <c r="F14" s="230">
        <f t="shared" si="0"/>
        <v>3240</v>
      </c>
      <c r="G14" s="230">
        <f t="shared" si="0"/>
        <v>3240</v>
      </c>
      <c r="H14" s="230">
        <f t="shared" si="0"/>
        <v>3240</v>
      </c>
    </row>
    <row r="16" ht="24.75" customHeight="1"/>
  </sheetData>
  <sheetProtection selectLockedCells="1" selectUnlockedCells="1"/>
  <mergeCells count="5">
    <mergeCell ref="A2:H2"/>
    <mergeCell ref="A4:A5"/>
    <mergeCell ref="B4:B5"/>
    <mergeCell ref="C4:E4"/>
    <mergeCell ref="F4:H4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41" sqref="R4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14"/>
  <sheetViews>
    <sheetView tabSelected="1" zoomScalePageLayoutView="0" workbookViewId="0" topLeftCell="A1">
      <selection activeCell="T34" sqref="T34"/>
    </sheetView>
  </sheetViews>
  <sheetFormatPr defaultColWidth="9.00390625" defaultRowHeight="12.75"/>
  <cols>
    <col min="1" max="1" width="5.375" style="0" customWidth="1"/>
    <col min="2" max="2" width="35.875" style="0" customWidth="1"/>
    <col min="3" max="3" width="16.125" style="0" customWidth="1"/>
    <col min="4" max="4" width="25.25390625" style="0" customWidth="1"/>
    <col min="5" max="5" width="14.375" style="0" customWidth="1"/>
    <col min="6" max="6" width="13.25390625" style="0" customWidth="1"/>
  </cols>
  <sheetData>
    <row r="1" ht="12.75">
      <c r="D1" t="s">
        <v>13</v>
      </c>
    </row>
    <row r="2" spans="1:4" ht="52.5" customHeight="1">
      <c r="A2" s="248" t="s">
        <v>179</v>
      </c>
      <c r="B2" s="248"/>
      <c r="C2" s="248"/>
      <c r="D2" s="248"/>
    </row>
    <row r="4" spans="1:6" ht="38.25">
      <c r="A4" s="8" t="s">
        <v>1</v>
      </c>
      <c r="B4" s="8" t="s">
        <v>2</v>
      </c>
      <c r="C4" s="8" t="s">
        <v>14</v>
      </c>
      <c r="D4" s="8" t="s">
        <v>15</v>
      </c>
      <c r="E4" s="19"/>
      <c r="F4" s="19"/>
    </row>
    <row r="5" spans="1:4" ht="12.75">
      <c r="A5" s="20">
        <v>1</v>
      </c>
      <c r="B5" s="8" t="s">
        <v>7</v>
      </c>
      <c r="C5" s="21">
        <v>4275</v>
      </c>
      <c r="D5" s="22">
        <f>(0.6*C5+0.4*C14)/C5</f>
        <v>0.8231766081871345</v>
      </c>
    </row>
    <row r="6" spans="1:4" ht="12.75">
      <c r="A6" s="20">
        <v>2</v>
      </c>
      <c r="B6" s="8" t="s">
        <v>8</v>
      </c>
      <c r="C6" s="21">
        <v>2795</v>
      </c>
      <c r="D6" s="22">
        <f>(0.6*C6+0.4*C14)/C6</f>
        <v>0.9413524150268336</v>
      </c>
    </row>
    <row r="7" spans="1:4" ht="12.75">
      <c r="A7" s="20">
        <v>3</v>
      </c>
      <c r="B7" s="8" t="s">
        <v>9</v>
      </c>
      <c r="C7" s="21">
        <v>1429</v>
      </c>
      <c r="D7" s="22">
        <f>(0.6*C7+0.4*C14)/C7</f>
        <v>1.2676557032890132</v>
      </c>
    </row>
    <row r="8" spans="1:4" ht="12.75">
      <c r="A8" s="20">
        <v>4</v>
      </c>
      <c r="B8" s="8" t="s">
        <v>10</v>
      </c>
      <c r="C8" s="21">
        <v>2010</v>
      </c>
      <c r="D8" s="22">
        <f>(0.6*C8+0.4*C14)/C8</f>
        <v>1.0746666666666667</v>
      </c>
    </row>
    <row r="9" spans="1:4" ht="12.75">
      <c r="A9" s="20">
        <v>5</v>
      </c>
      <c r="B9" s="8" t="s">
        <v>11</v>
      </c>
      <c r="C9" s="21">
        <v>1417</v>
      </c>
      <c r="D9" s="22">
        <f>(0.6*C9+0.4*C14)/C9</f>
        <v>1.2733098094565982</v>
      </c>
    </row>
    <row r="10" spans="1:4" ht="12.75">
      <c r="A10" s="20">
        <v>6</v>
      </c>
      <c r="B10" s="8"/>
      <c r="C10" s="21"/>
      <c r="D10" s="22"/>
    </row>
    <row r="11" spans="1:4" ht="12.75">
      <c r="A11" s="20">
        <v>7</v>
      </c>
      <c r="B11" s="8"/>
      <c r="C11" s="21"/>
      <c r="D11" s="22"/>
    </row>
    <row r="12" spans="1:4" ht="12.75">
      <c r="A12" s="20">
        <v>8</v>
      </c>
      <c r="B12" s="8"/>
      <c r="C12" s="21"/>
      <c r="D12" s="22"/>
    </row>
    <row r="13" spans="1:4" ht="12.75">
      <c r="A13" s="20"/>
      <c r="B13" s="23" t="s">
        <v>16</v>
      </c>
      <c r="C13" s="24">
        <f>SUM(C5:C12)</f>
        <v>11926</v>
      </c>
      <c r="D13" s="25">
        <f>(0.6*C13+0.4*C14)/C13</f>
        <v>0.6799999999999999</v>
      </c>
    </row>
    <row r="14" spans="1:4" ht="12.75">
      <c r="A14" s="20"/>
      <c r="B14" s="23" t="s">
        <v>17</v>
      </c>
      <c r="C14" s="26">
        <f>C13/5</f>
        <v>2385.2</v>
      </c>
      <c r="D14" s="20"/>
    </row>
    <row r="16" ht="20.25" customHeight="1"/>
  </sheetData>
  <sheetProtection selectLockedCells="1" selectUnlockedCells="1"/>
  <mergeCells count="1">
    <mergeCell ref="A2:D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D93"/>
  <sheetViews>
    <sheetView zoomScaleSheetLayoutView="100" zoomScalePageLayoutView="0" workbookViewId="0" topLeftCell="A1">
      <selection activeCell="I16" sqref="I16"/>
    </sheetView>
  </sheetViews>
  <sheetFormatPr defaultColWidth="9.00390625" defaultRowHeight="12.75"/>
  <cols>
    <col min="1" max="1" width="6.25390625" style="0" customWidth="1"/>
    <col min="2" max="2" width="43.25390625" style="0" customWidth="1"/>
    <col min="3" max="3" width="18.00390625" style="0" customWidth="1"/>
    <col min="4" max="4" width="16.00390625" style="0" customWidth="1"/>
  </cols>
  <sheetData>
    <row r="1" ht="12.75">
      <c r="D1" t="s">
        <v>18</v>
      </c>
    </row>
    <row r="3" spans="1:4" ht="79.5" customHeight="1">
      <c r="A3" s="249" t="s">
        <v>181</v>
      </c>
      <c r="B3" s="249"/>
      <c r="C3" s="249"/>
      <c r="D3" s="249"/>
    </row>
    <row r="4" spans="1:4" ht="15">
      <c r="A4" s="250"/>
      <c r="B4" s="250"/>
      <c r="C4" s="250"/>
      <c r="D4" s="250"/>
    </row>
    <row r="5" spans="1:4" ht="38.25">
      <c r="A5" s="27" t="s">
        <v>19</v>
      </c>
      <c r="B5" s="27" t="s">
        <v>20</v>
      </c>
      <c r="C5" s="28" t="s">
        <v>180</v>
      </c>
      <c r="D5" s="28" t="s">
        <v>21</v>
      </c>
    </row>
    <row r="6" spans="1:4" ht="12.75">
      <c r="A6" s="27">
        <v>1</v>
      </c>
      <c r="B6" s="27" t="s">
        <v>22</v>
      </c>
      <c r="C6" s="27">
        <f>C7+C8+C9+C10+C11+C12+C13+C14+C15+C16</f>
        <v>4275</v>
      </c>
      <c r="D6" s="29">
        <f>(D7/C6)+1</f>
        <v>1.2025730994152046</v>
      </c>
    </row>
    <row r="7" spans="1:4" ht="12.75">
      <c r="A7" s="20"/>
      <c r="B7" s="30" t="s">
        <v>23</v>
      </c>
      <c r="C7" s="20">
        <v>2873</v>
      </c>
      <c r="D7" s="20">
        <f>C8+C9+C11+C12+C13+C14+C15+C16</f>
        <v>866</v>
      </c>
    </row>
    <row r="8" spans="1:4" ht="12.75">
      <c r="A8" s="20"/>
      <c r="B8" s="20" t="s">
        <v>24</v>
      </c>
      <c r="C8" s="20">
        <v>168</v>
      </c>
      <c r="D8" s="20"/>
    </row>
    <row r="9" spans="1:4" ht="12.75">
      <c r="A9" s="20"/>
      <c r="B9" s="20" t="s">
        <v>25</v>
      </c>
      <c r="C9" s="20">
        <v>468</v>
      </c>
      <c r="D9" s="20"/>
    </row>
    <row r="10" spans="1:4" ht="12.75">
      <c r="A10" s="20"/>
      <c r="B10" s="20" t="s">
        <v>26</v>
      </c>
      <c r="C10" s="20">
        <v>536</v>
      </c>
      <c r="D10" s="20"/>
    </row>
    <row r="11" spans="1:4" ht="12.75">
      <c r="A11" s="20"/>
      <c r="B11" s="20" t="s">
        <v>27</v>
      </c>
      <c r="C11" s="20">
        <v>107</v>
      </c>
      <c r="D11" s="20"/>
    </row>
    <row r="12" spans="1:4" ht="12.75">
      <c r="A12" s="20"/>
      <c r="B12" s="20" t="s">
        <v>28</v>
      </c>
      <c r="C12" s="20">
        <v>68</v>
      </c>
      <c r="D12" s="20"/>
    </row>
    <row r="13" spans="1:4" ht="12.75">
      <c r="A13" s="20"/>
      <c r="B13" s="20" t="s">
        <v>29</v>
      </c>
      <c r="C13" s="20">
        <v>9</v>
      </c>
      <c r="D13" s="20"/>
    </row>
    <row r="14" spans="1:4" ht="12.75">
      <c r="A14" s="20"/>
      <c r="B14" s="20" t="s">
        <v>30</v>
      </c>
      <c r="C14" s="20">
        <v>11</v>
      </c>
      <c r="D14" s="20"/>
    </row>
    <row r="15" spans="1:4" ht="12.75">
      <c r="A15" s="20"/>
      <c r="B15" s="20" t="s">
        <v>31</v>
      </c>
      <c r="C15" s="20">
        <v>32</v>
      </c>
      <c r="D15" s="20"/>
    </row>
    <row r="16" spans="1:4" ht="12.75">
      <c r="A16" s="20"/>
      <c r="B16" s="20" t="s">
        <v>32</v>
      </c>
      <c r="C16" s="20">
        <v>3</v>
      </c>
      <c r="D16" s="20"/>
    </row>
    <row r="17" spans="1:4" ht="12.75">
      <c r="A17" s="27">
        <v>2</v>
      </c>
      <c r="B17" s="27" t="s">
        <v>33</v>
      </c>
      <c r="C17" s="27">
        <f>C18+C19+C20</f>
        <v>2795</v>
      </c>
      <c r="D17" s="29">
        <f>(D18/C17)+1</f>
        <v>1.1159212880143112</v>
      </c>
    </row>
    <row r="18" spans="1:4" ht="12.75">
      <c r="A18" s="27"/>
      <c r="B18" s="30" t="s">
        <v>34</v>
      </c>
      <c r="C18" s="20">
        <v>1955</v>
      </c>
      <c r="D18" s="20">
        <f>C20</f>
        <v>324</v>
      </c>
    </row>
    <row r="19" spans="1:4" ht="12.75">
      <c r="A19" s="27"/>
      <c r="B19" s="20" t="s">
        <v>35</v>
      </c>
      <c r="C19" s="20">
        <v>516</v>
      </c>
      <c r="D19" s="20"/>
    </row>
    <row r="20" spans="1:4" ht="12.75">
      <c r="A20" s="27"/>
      <c r="B20" s="20" t="s">
        <v>36</v>
      </c>
      <c r="C20" s="20">
        <v>324</v>
      </c>
      <c r="D20" s="20"/>
    </row>
    <row r="21" spans="1:4" ht="12.75">
      <c r="A21" s="27">
        <v>3</v>
      </c>
      <c r="B21" s="27" t="s">
        <v>37</v>
      </c>
      <c r="C21" s="27">
        <f>C22+C23+C24+C25+C26+C27+C28</f>
        <v>1429</v>
      </c>
      <c r="D21" s="29">
        <f>(D22/C21)+1</f>
        <v>2</v>
      </c>
    </row>
    <row r="22" spans="1:4" ht="12.75">
      <c r="A22" s="27"/>
      <c r="B22" s="31" t="s">
        <v>38</v>
      </c>
      <c r="C22" s="20">
        <v>431</v>
      </c>
      <c r="D22" s="20">
        <f>C22+C23+C24+C25+C26+C27+C28</f>
        <v>1429</v>
      </c>
    </row>
    <row r="23" spans="1:4" ht="12.75">
      <c r="A23" s="27"/>
      <c r="B23" s="20" t="s">
        <v>39</v>
      </c>
      <c r="C23" s="20">
        <v>365</v>
      </c>
      <c r="D23" s="20"/>
    </row>
    <row r="24" spans="1:4" ht="12.75">
      <c r="A24" s="27"/>
      <c r="B24" s="20" t="s">
        <v>40</v>
      </c>
      <c r="C24" s="20">
        <v>143</v>
      </c>
      <c r="D24" s="20"/>
    </row>
    <row r="25" spans="1:4" ht="12.75">
      <c r="A25" s="27"/>
      <c r="B25" s="32" t="s">
        <v>41</v>
      </c>
      <c r="C25" s="20">
        <v>130</v>
      </c>
      <c r="D25" s="20"/>
    </row>
    <row r="26" spans="1:4" ht="12.75">
      <c r="A26" s="27"/>
      <c r="B26" s="20" t="s">
        <v>42</v>
      </c>
      <c r="C26" s="20">
        <v>233</v>
      </c>
      <c r="D26" s="20"/>
    </row>
    <row r="27" spans="1:4" ht="12.75">
      <c r="A27" s="27"/>
      <c r="B27" s="20" t="s">
        <v>43</v>
      </c>
      <c r="C27" s="20">
        <v>123</v>
      </c>
      <c r="D27" s="20"/>
    </row>
    <row r="28" spans="1:4" ht="12.75">
      <c r="A28" s="27"/>
      <c r="B28" s="20" t="s">
        <v>44</v>
      </c>
      <c r="C28" s="20">
        <v>4</v>
      </c>
      <c r="D28" s="20"/>
    </row>
    <row r="29" spans="1:4" ht="12.75">
      <c r="A29" s="27">
        <v>4</v>
      </c>
      <c r="B29" s="27" t="s">
        <v>45</v>
      </c>
      <c r="C29" s="27">
        <f>SUM(C30:C33)</f>
        <v>2010</v>
      </c>
      <c r="D29" s="29">
        <f>(D30/C29)+1</f>
        <v>1.3044776119402985</v>
      </c>
    </row>
    <row r="30" spans="1:4" ht="12.75">
      <c r="A30" s="27"/>
      <c r="B30" s="30" t="s">
        <v>46</v>
      </c>
      <c r="C30" s="20">
        <v>720</v>
      </c>
      <c r="D30" s="20">
        <f>C32+C33</f>
        <v>612</v>
      </c>
    </row>
    <row r="31" spans="1:4" ht="12.75">
      <c r="A31" s="27"/>
      <c r="B31" s="20" t="s">
        <v>47</v>
      </c>
      <c r="C31" s="20">
        <v>678</v>
      </c>
      <c r="D31" s="20"/>
    </row>
    <row r="32" spans="1:4" ht="12.75">
      <c r="A32" s="27"/>
      <c r="B32" s="20" t="s">
        <v>48</v>
      </c>
      <c r="C32" s="20">
        <v>460</v>
      </c>
      <c r="D32" s="20"/>
    </row>
    <row r="33" spans="1:4" ht="12.75">
      <c r="A33" s="27"/>
      <c r="B33" s="20" t="s">
        <v>49</v>
      </c>
      <c r="C33" s="20">
        <v>152</v>
      </c>
      <c r="D33" s="20"/>
    </row>
    <row r="34" spans="1:4" ht="12.75">
      <c r="A34" s="27">
        <v>5</v>
      </c>
      <c r="B34" s="27" t="s">
        <v>50</v>
      </c>
      <c r="C34" s="27">
        <f>C35+C36+C37+C38</f>
        <v>1417</v>
      </c>
      <c r="D34" s="29">
        <f>(D35/C34)+1</f>
        <v>1.452364149611856</v>
      </c>
    </row>
    <row r="35" spans="1:4" ht="12.75">
      <c r="A35" s="27"/>
      <c r="B35" s="30" t="s">
        <v>51</v>
      </c>
      <c r="C35" s="20">
        <v>776</v>
      </c>
      <c r="D35" s="20">
        <f>C36+C37+C38</f>
        <v>641</v>
      </c>
    </row>
    <row r="36" spans="1:4" ht="12.75">
      <c r="A36" s="27"/>
      <c r="B36" s="20" t="s">
        <v>52</v>
      </c>
      <c r="C36" s="20">
        <v>412</v>
      </c>
      <c r="D36" s="20"/>
    </row>
    <row r="37" spans="1:4" ht="12.75">
      <c r="A37" s="27"/>
      <c r="B37" s="20" t="s">
        <v>53</v>
      </c>
      <c r="C37" s="20">
        <v>217</v>
      </c>
      <c r="D37" s="20"/>
    </row>
    <row r="38" spans="1:4" ht="12.75">
      <c r="A38" s="27"/>
      <c r="B38" s="33" t="s">
        <v>54</v>
      </c>
      <c r="C38" s="20">
        <v>12</v>
      </c>
      <c r="D38" s="20"/>
    </row>
    <row r="39" spans="1:4" ht="15">
      <c r="A39" s="27"/>
      <c r="B39" s="34" t="s">
        <v>55</v>
      </c>
      <c r="C39" s="27">
        <f>C6+C17+C21+C29+C34</f>
        <v>11926</v>
      </c>
      <c r="D39" s="29">
        <f>D40/C39+1</f>
        <v>1.3246687908770753</v>
      </c>
    </row>
    <row r="40" spans="1:4" ht="12.75">
      <c r="A40" s="20"/>
      <c r="B40" s="20"/>
      <c r="C40" s="20"/>
      <c r="D40" s="20">
        <f>D35+D30+D22+D18+D7</f>
        <v>3872</v>
      </c>
    </row>
    <row r="41" spans="1:4" ht="12.75">
      <c r="A41" s="20"/>
      <c r="B41" s="30"/>
      <c r="C41" s="20"/>
      <c r="D41" s="20"/>
    </row>
    <row r="42" spans="1:4" ht="12.75">
      <c r="A42" s="20"/>
      <c r="B42" s="20"/>
      <c r="C42" s="20"/>
      <c r="D42" s="20"/>
    </row>
    <row r="43" spans="1:4" ht="12.75" customHeight="1" hidden="1">
      <c r="A43" s="27">
        <v>3</v>
      </c>
      <c r="B43" s="20" t="s">
        <v>56</v>
      </c>
      <c r="C43" s="20">
        <v>125</v>
      </c>
      <c r="D43" s="20"/>
    </row>
    <row r="44" spans="1:4" ht="12.75" customHeight="1" hidden="1">
      <c r="A44" s="20"/>
      <c r="B44" s="27" t="s">
        <v>57</v>
      </c>
      <c r="C44" s="27">
        <f>C45+C46+C47+C48+C49+C50+C51</f>
        <v>3241</v>
      </c>
      <c r="D44" s="29">
        <f>D45/C44+1</f>
        <v>1.218759642085776</v>
      </c>
    </row>
    <row r="45" spans="1:4" ht="12.75" customHeight="1" hidden="1">
      <c r="A45" s="20"/>
      <c r="B45" s="20" t="s">
        <v>58</v>
      </c>
      <c r="C45" s="20">
        <v>615</v>
      </c>
      <c r="D45" s="20">
        <f>C46+C47+C51</f>
        <v>709</v>
      </c>
    </row>
    <row r="46" spans="1:4" ht="12.75" customHeight="1" hidden="1">
      <c r="A46" s="20"/>
      <c r="B46" s="20" t="s">
        <v>59</v>
      </c>
      <c r="C46" s="20">
        <v>110</v>
      </c>
      <c r="D46" s="20"/>
    </row>
    <row r="47" spans="1:4" ht="12.75" customHeight="1" hidden="1">
      <c r="A47" s="20"/>
      <c r="B47" s="20" t="s">
        <v>60</v>
      </c>
      <c r="C47" s="20">
        <v>202</v>
      </c>
      <c r="D47" s="20"/>
    </row>
    <row r="48" spans="1:4" ht="12.75" customHeight="1" hidden="1">
      <c r="A48" s="20"/>
      <c r="B48" s="20" t="s">
        <v>61</v>
      </c>
      <c r="C48" s="20">
        <v>530</v>
      </c>
      <c r="D48" s="20"/>
    </row>
    <row r="49" spans="1:4" ht="12.75" customHeight="1" hidden="1">
      <c r="A49" s="20"/>
      <c r="B49" s="20" t="s">
        <v>62</v>
      </c>
      <c r="C49" s="20">
        <v>794</v>
      </c>
      <c r="D49" s="20"/>
    </row>
    <row r="50" spans="1:4" ht="12.75" customHeight="1" hidden="1">
      <c r="A50" s="20"/>
      <c r="B50" s="35" t="s">
        <v>63</v>
      </c>
      <c r="C50" s="36">
        <v>593</v>
      </c>
      <c r="D50" s="20"/>
    </row>
    <row r="51" spans="1:4" ht="12.75" customHeight="1" hidden="1">
      <c r="A51" s="20"/>
      <c r="B51" s="36" t="s">
        <v>64</v>
      </c>
      <c r="C51" s="36">
        <v>397</v>
      </c>
      <c r="D51" s="20"/>
    </row>
    <row r="52" spans="1:4" ht="12.75" customHeight="1" hidden="1">
      <c r="A52" s="20"/>
      <c r="B52" s="28" t="s">
        <v>65</v>
      </c>
      <c r="C52" s="27">
        <f>C53+C54</f>
        <v>42</v>
      </c>
      <c r="D52" s="29">
        <f>(D53/C52)+1</f>
        <v>1</v>
      </c>
    </row>
    <row r="53" spans="1:4" ht="12.75" customHeight="1" hidden="1">
      <c r="A53" s="27">
        <v>4</v>
      </c>
      <c r="B53" s="33" t="s">
        <v>54</v>
      </c>
      <c r="C53" s="20">
        <v>4</v>
      </c>
      <c r="D53" s="20"/>
    </row>
    <row r="54" spans="1:4" ht="12.75" customHeight="1" hidden="1">
      <c r="A54" s="20"/>
      <c r="B54" s="8" t="s">
        <v>66</v>
      </c>
      <c r="C54" s="20">
        <v>38</v>
      </c>
      <c r="D54" s="20"/>
    </row>
    <row r="55" spans="1:4" ht="12.75" customHeight="1" hidden="1">
      <c r="A55" s="20"/>
      <c r="B55" s="28" t="s">
        <v>67</v>
      </c>
      <c r="C55" s="27">
        <f>C56+C57</f>
        <v>2299</v>
      </c>
      <c r="D55" s="27">
        <v>1</v>
      </c>
    </row>
    <row r="56" spans="1:4" ht="12.75" customHeight="1" hidden="1">
      <c r="A56" s="20"/>
      <c r="B56" s="37" t="s">
        <v>68</v>
      </c>
      <c r="C56" s="20">
        <v>1565</v>
      </c>
      <c r="D56" s="20"/>
    </row>
    <row r="57" spans="1:4" ht="12.75" customHeight="1" hidden="1">
      <c r="A57" s="20"/>
      <c r="B57" s="8" t="s">
        <v>69</v>
      </c>
      <c r="C57" s="20">
        <v>734</v>
      </c>
      <c r="D57" s="20"/>
    </row>
    <row r="58" spans="1:4" ht="12.75" customHeight="1" hidden="1">
      <c r="A58" s="20"/>
      <c r="B58" s="28" t="s">
        <v>70</v>
      </c>
      <c r="C58" s="27">
        <f>C59+C60+C61</f>
        <v>4661</v>
      </c>
      <c r="D58" s="29">
        <f>(D59/C58)+1</f>
        <v>1.0390474147178717</v>
      </c>
    </row>
    <row r="59" spans="1:4" ht="12.75" customHeight="1" hidden="1">
      <c r="A59" s="20"/>
      <c r="B59" s="37" t="s">
        <v>71</v>
      </c>
      <c r="C59" s="20">
        <v>3225</v>
      </c>
      <c r="D59" s="20">
        <f>C61</f>
        <v>182</v>
      </c>
    </row>
    <row r="60" spans="1:4" ht="12.75" customHeight="1" hidden="1">
      <c r="A60" s="27">
        <v>5</v>
      </c>
      <c r="B60" s="8" t="s">
        <v>72</v>
      </c>
      <c r="C60" s="20">
        <v>1254</v>
      </c>
      <c r="D60" s="20"/>
    </row>
    <row r="61" spans="1:4" ht="12.75" customHeight="1" hidden="1">
      <c r="A61" s="20"/>
      <c r="B61" s="8" t="s">
        <v>73</v>
      </c>
      <c r="C61" s="20">
        <v>182</v>
      </c>
      <c r="D61" s="20"/>
    </row>
    <row r="62" spans="1:4" ht="12.75" customHeight="1" hidden="1">
      <c r="A62" s="20"/>
      <c r="B62" s="34" t="s">
        <v>55</v>
      </c>
      <c r="C62" s="27">
        <f>C6+C17+C21+C29+C34</f>
        <v>11926</v>
      </c>
      <c r="D62" s="29">
        <f>D63/C62+1</f>
        <v>1.3246687908770753</v>
      </c>
    </row>
    <row r="63" spans="1:4" ht="12.75" customHeight="1" hidden="1">
      <c r="A63" s="20"/>
      <c r="B63" s="19"/>
      <c r="D63" s="38">
        <f>D7+D18+D22+D30+D35</f>
        <v>3872</v>
      </c>
    </row>
    <row r="64" spans="1:4" ht="12.75" customHeight="1" hidden="1">
      <c r="A64" s="20"/>
      <c r="B64" s="20" t="s">
        <v>74</v>
      </c>
      <c r="C64" s="20">
        <v>540</v>
      </c>
      <c r="D64" s="20"/>
    </row>
    <row r="65" spans="1:4" ht="12.75" customHeight="1" hidden="1">
      <c r="A65" s="27">
        <v>6</v>
      </c>
      <c r="B65" s="27" t="s">
        <v>75</v>
      </c>
      <c r="C65" s="27">
        <f>C66+C67+C68+C69</f>
        <v>3000</v>
      </c>
      <c r="D65" s="29">
        <f>D66/C65+1</f>
        <v>1.0416666666666667</v>
      </c>
    </row>
    <row r="66" spans="1:4" ht="12.75" customHeight="1" hidden="1">
      <c r="A66" s="20"/>
      <c r="B66" s="20" t="s">
        <v>76</v>
      </c>
      <c r="C66" s="20">
        <v>900</v>
      </c>
      <c r="D66" s="20">
        <f>C69</f>
        <v>125</v>
      </c>
    </row>
    <row r="67" spans="1:4" ht="12.75" customHeight="1" hidden="1">
      <c r="A67" s="20"/>
      <c r="B67" s="30" t="s">
        <v>77</v>
      </c>
      <c r="C67" s="20">
        <v>980</v>
      </c>
      <c r="D67" s="20"/>
    </row>
    <row r="68" spans="1:4" ht="12.75" customHeight="1" hidden="1">
      <c r="A68" s="20"/>
      <c r="B68" s="20" t="s">
        <v>78</v>
      </c>
      <c r="C68" s="20">
        <v>995</v>
      </c>
      <c r="D68" s="20"/>
    </row>
    <row r="69" spans="1:4" ht="12.75" customHeight="1" hidden="1">
      <c r="A69" s="20"/>
      <c r="B69" s="20" t="s">
        <v>56</v>
      </c>
      <c r="C69" s="20">
        <v>125</v>
      </c>
      <c r="D69" s="20"/>
    </row>
    <row r="70" spans="1:4" ht="12.75" customHeight="1" hidden="1">
      <c r="A70" s="27">
        <v>7</v>
      </c>
      <c r="B70" s="27" t="s">
        <v>57</v>
      </c>
      <c r="C70" s="27">
        <f>C71+C72+C73+C74+C75+C76+C77</f>
        <v>3241</v>
      </c>
      <c r="D70" s="29">
        <f>D71/C70+1</f>
        <v>1.218759642085776</v>
      </c>
    </row>
    <row r="71" spans="1:4" ht="12.75" customHeight="1" hidden="1">
      <c r="A71" s="20"/>
      <c r="B71" s="20" t="s">
        <v>58</v>
      </c>
      <c r="C71" s="20">
        <v>615</v>
      </c>
      <c r="D71" s="20">
        <f>C72+C73+C77</f>
        <v>709</v>
      </c>
    </row>
    <row r="72" spans="1:4" ht="12.75" customHeight="1" hidden="1">
      <c r="A72" s="20"/>
      <c r="B72" s="20" t="s">
        <v>59</v>
      </c>
      <c r="C72" s="20">
        <v>110</v>
      </c>
      <c r="D72" s="20"/>
    </row>
    <row r="73" spans="1:4" ht="12.75" customHeight="1" hidden="1">
      <c r="A73" s="20"/>
      <c r="B73" s="20" t="s">
        <v>60</v>
      </c>
      <c r="C73" s="20">
        <v>202</v>
      </c>
      <c r="D73" s="20"/>
    </row>
    <row r="74" spans="1:4" ht="12.75" customHeight="1" hidden="1">
      <c r="A74" s="20"/>
      <c r="B74" s="20" t="s">
        <v>61</v>
      </c>
      <c r="C74" s="20">
        <v>530</v>
      </c>
      <c r="D74" s="20"/>
    </row>
    <row r="75" spans="1:4" ht="12.75" customHeight="1" hidden="1">
      <c r="A75" s="20"/>
      <c r="B75" s="20" t="s">
        <v>62</v>
      </c>
      <c r="C75" s="20">
        <v>794</v>
      </c>
      <c r="D75" s="20"/>
    </row>
    <row r="76" spans="1:4" ht="12.75" customHeight="1" hidden="1">
      <c r="A76" s="20"/>
      <c r="B76" s="35" t="s">
        <v>63</v>
      </c>
      <c r="C76" s="36">
        <v>593</v>
      </c>
      <c r="D76" s="20"/>
    </row>
    <row r="77" spans="1:4" ht="12.75" customHeight="1" hidden="1">
      <c r="A77" s="20"/>
      <c r="B77" s="36" t="s">
        <v>64</v>
      </c>
      <c r="C77" s="36">
        <v>397</v>
      </c>
      <c r="D77" s="20"/>
    </row>
    <row r="78" spans="1:4" ht="25.5" customHeight="1" hidden="1">
      <c r="A78" s="27">
        <v>8</v>
      </c>
      <c r="B78" s="28" t="s">
        <v>65</v>
      </c>
      <c r="C78" s="27">
        <f>C79+C80</f>
        <v>42</v>
      </c>
      <c r="D78" s="29">
        <f>(D79/C78)+1</f>
        <v>1</v>
      </c>
    </row>
    <row r="79" spans="1:4" ht="12.75" customHeight="1" hidden="1">
      <c r="A79" s="20"/>
      <c r="B79" s="33" t="s">
        <v>54</v>
      </c>
      <c r="C79" s="20">
        <v>4</v>
      </c>
      <c r="D79" s="20"/>
    </row>
    <row r="80" spans="1:4" ht="12.75" customHeight="1" hidden="1">
      <c r="A80" s="20"/>
      <c r="B80" s="8" t="s">
        <v>66</v>
      </c>
      <c r="C80" s="20">
        <v>38</v>
      </c>
      <c r="D80" s="20"/>
    </row>
    <row r="81" spans="1:4" ht="12.75" customHeight="1" hidden="1">
      <c r="A81" s="27">
        <v>9</v>
      </c>
      <c r="B81" s="28" t="s">
        <v>67</v>
      </c>
      <c r="C81" s="27">
        <f>C82+C83</f>
        <v>2299</v>
      </c>
      <c r="D81" s="27">
        <v>1</v>
      </c>
    </row>
    <row r="82" spans="1:4" ht="12.75" customHeight="1" hidden="1">
      <c r="A82" s="20"/>
      <c r="B82" s="37" t="s">
        <v>68</v>
      </c>
      <c r="C82" s="20">
        <v>1565</v>
      </c>
      <c r="D82" s="20"/>
    </row>
    <row r="83" spans="1:4" ht="12.75" customHeight="1" hidden="1">
      <c r="A83" s="20"/>
      <c r="B83" s="8" t="s">
        <v>69</v>
      </c>
      <c r="C83" s="20">
        <v>734</v>
      </c>
      <c r="D83" s="20"/>
    </row>
    <row r="84" spans="1:4" ht="12.75" customHeight="1" hidden="1">
      <c r="A84" s="27">
        <v>10</v>
      </c>
      <c r="B84" s="28" t="s">
        <v>70</v>
      </c>
      <c r="C84" s="27">
        <f>C85+C86+C87</f>
        <v>4661</v>
      </c>
      <c r="D84" s="29">
        <f>(D85/C84)+1</f>
        <v>1.0390474147178717</v>
      </c>
    </row>
    <row r="85" spans="1:4" ht="12.75" customHeight="1" hidden="1">
      <c r="A85" s="20"/>
      <c r="B85" s="37" t="s">
        <v>71</v>
      </c>
      <c r="C85" s="20">
        <v>3225</v>
      </c>
      <c r="D85" s="20">
        <f>C87</f>
        <v>182</v>
      </c>
    </row>
    <row r="86" spans="1:4" ht="12.75" customHeight="1" hidden="1">
      <c r="A86" s="20"/>
      <c r="B86" s="8" t="s">
        <v>72</v>
      </c>
      <c r="C86" s="20">
        <v>1254</v>
      </c>
      <c r="D86" s="20"/>
    </row>
    <row r="87" spans="1:4" ht="12.75" customHeight="1" hidden="1">
      <c r="A87" s="20"/>
      <c r="B87" s="8" t="s">
        <v>73</v>
      </c>
      <c r="C87" s="20">
        <v>182</v>
      </c>
      <c r="D87" s="20"/>
    </row>
    <row r="88" spans="1:4" ht="30" customHeight="1" hidden="1">
      <c r="A88" s="20"/>
      <c r="B88" s="34" t="s">
        <v>55</v>
      </c>
      <c r="C88" s="27">
        <f>C6+C17+C43+C53+C60</f>
        <v>8453</v>
      </c>
      <c r="D88" s="29">
        <f>D89/C88+1</f>
        <v>1.5606552418836017</v>
      </c>
    </row>
    <row r="89" spans="2:4" ht="12.75" customHeight="1" hidden="1">
      <c r="B89" s="19"/>
      <c r="D89" s="38">
        <f>D7+D40+D44+D54+D61</f>
        <v>4739.218759642085</v>
      </c>
    </row>
    <row r="90" spans="2:4" ht="38.25" customHeight="1" hidden="1">
      <c r="B90" s="39" t="s">
        <v>79</v>
      </c>
      <c r="D90" t="s">
        <v>80</v>
      </c>
    </row>
    <row r="91" ht="12.75" customHeight="1" hidden="1"/>
    <row r="92" ht="12.75" customHeight="1" hidden="1"/>
    <row r="93" ht="12.75" customHeight="1" hidden="1">
      <c r="B93" t="s">
        <v>81</v>
      </c>
    </row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4" ht="15" customHeight="1"/>
  </sheetData>
  <sheetProtection selectLockedCells="1" selectUnlockedCells="1"/>
  <mergeCells count="2">
    <mergeCell ref="A3:D3"/>
    <mergeCell ref="A4:D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U50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29.25390625" style="0" customWidth="1"/>
    <col min="2" max="2" width="13.875" style="0" customWidth="1"/>
    <col min="3" max="3" width="15.375" style="0" customWidth="1"/>
    <col min="4" max="4" width="16.25390625" style="0" customWidth="1"/>
    <col min="5" max="5" width="16.125" style="0" customWidth="1"/>
    <col min="6" max="6" width="14.125" style="0" customWidth="1"/>
    <col min="7" max="7" width="15.125" style="0" customWidth="1"/>
    <col min="8" max="8" width="12.375" style="0" customWidth="1"/>
    <col min="9" max="9" width="12.75390625" style="0" customWidth="1"/>
    <col min="10" max="10" width="13.375" style="0" customWidth="1"/>
    <col min="11" max="11" width="12.375" style="0" customWidth="1"/>
    <col min="12" max="12" width="17.75390625" style="0" customWidth="1"/>
    <col min="13" max="13" width="13.25390625" style="0" customWidth="1"/>
    <col min="14" max="14" width="13.75390625" style="0" customWidth="1"/>
    <col min="15" max="15" width="13.375" style="0" customWidth="1"/>
    <col min="16" max="16" width="13.125" style="0" customWidth="1"/>
    <col min="17" max="19" width="11.875" style="0" customWidth="1"/>
    <col min="20" max="20" width="12.375" style="0" customWidth="1"/>
    <col min="21" max="21" width="11.875" style="0" customWidth="1"/>
  </cols>
  <sheetData>
    <row r="1" ht="12.75">
      <c r="F1" t="s">
        <v>82</v>
      </c>
    </row>
    <row r="2" spans="1:7" ht="36" customHeight="1">
      <c r="A2" s="251" t="s">
        <v>182</v>
      </c>
      <c r="B2" s="251"/>
      <c r="C2" s="251"/>
      <c r="D2" s="251"/>
      <c r="E2" s="251"/>
      <c r="F2" s="251"/>
      <c r="G2" s="251"/>
    </row>
    <row r="3" ht="12.75">
      <c r="G3" s="40"/>
    </row>
    <row r="4" spans="1:7" s="19" customFormat="1" ht="31.5">
      <c r="A4" s="41" t="s">
        <v>20</v>
      </c>
      <c r="B4" s="41" t="s">
        <v>84</v>
      </c>
      <c r="C4" s="41" t="s">
        <v>161</v>
      </c>
      <c r="D4" s="41" t="s">
        <v>162</v>
      </c>
      <c r="E4" s="41" t="s">
        <v>85</v>
      </c>
      <c r="F4" s="41" t="s">
        <v>86</v>
      </c>
      <c r="G4" s="42" t="s">
        <v>87</v>
      </c>
    </row>
    <row r="5" spans="1:7" ht="46.5" customHeight="1">
      <c r="A5" s="43" t="s">
        <v>88</v>
      </c>
      <c r="B5" s="44">
        <f aca="true" t="shared" si="0" ref="B5:D8">B40</f>
        <v>6377.265189999999</v>
      </c>
      <c r="C5" s="44">
        <f t="shared" si="0"/>
        <v>6803.69687</v>
      </c>
      <c r="D5" s="44">
        <f t="shared" si="0"/>
        <v>7044.017309999999</v>
      </c>
      <c r="E5" s="44">
        <f>SUM(B5:D5)</f>
        <v>20224.979369999997</v>
      </c>
      <c r="F5" s="44">
        <f>+E5/3</f>
        <v>6741.659789999999</v>
      </c>
      <c r="G5" s="45">
        <f>E5*100/E9</f>
        <v>13.094694452700283</v>
      </c>
    </row>
    <row r="6" spans="1:7" ht="28.5" customHeight="1">
      <c r="A6" s="46" t="s">
        <v>89</v>
      </c>
      <c r="B6" s="44">
        <f t="shared" si="0"/>
        <v>24620.923160000002</v>
      </c>
      <c r="C6" s="44">
        <f t="shared" si="0"/>
        <v>22763.255899999996</v>
      </c>
      <c r="D6" s="44">
        <f t="shared" si="0"/>
        <v>23730.58739</v>
      </c>
      <c r="E6" s="44">
        <f>SUM(B6:D6)</f>
        <v>71114.76645</v>
      </c>
      <c r="F6" s="44">
        <f>+E6/3</f>
        <v>23704.92215</v>
      </c>
      <c r="G6" s="45">
        <f>E6*100/E9</f>
        <v>46.04336650741866</v>
      </c>
    </row>
    <row r="7" spans="1:7" ht="25.5" customHeight="1">
      <c r="A7" s="46" t="s">
        <v>90</v>
      </c>
      <c r="B7" s="44">
        <f t="shared" si="0"/>
        <v>4854.72873</v>
      </c>
      <c r="C7" s="44">
        <f t="shared" si="0"/>
        <v>6250.65911</v>
      </c>
      <c r="D7" s="44">
        <f t="shared" si="0"/>
        <v>5850.220219999999</v>
      </c>
      <c r="E7" s="44">
        <f>SUM(B7:D7)</f>
        <v>16955.60806</v>
      </c>
      <c r="F7" s="44">
        <f>+E7/3</f>
        <v>5651.869353333333</v>
      </c>
      <c r="G7" s="45">
        <f>E7*100/E9</f>
        <v>10.977934896427152</v>
      </c>
    </row>
    <row r="8" spans="1:7" ht="26.25" customHeight="1">
      <c r="A8" s="46" t="s">
        <v>91</v>
      </c>
      <c r="B8" s="44">
        <f t="shared" si="0"/>
        <v>14842.30692</v>
      </c>
      <c r="C8" s="44">
        <f t="shared" si="0"/>
        <v>14624.751269999999</v>
      </c>
      <c r="D8" s="44">
        <f t="shared" si="0"/>
        <v>16689.296926</v>
      </c>
      <c r="E8" s="44">
        <f>SUM(B8:D8)</f>
        <v>46156.355116</v>
      </c>
      <c r="F8" s="44">
        <f>+E8/3</f>
        <v>15385.451705333333</v>
      </c>
      <c r="G8" s="45">
        <f>E8*100/E9</f>
        <v>29.8840041434539</v>
      </c>
    </row>
    <row r="9" spans="1:7" s="50" customFormat="1" ht="24.75" customHeight="1">
      <c r="A9" s="47" t="s">
        <v>92</v>
      </c>
      <c r="B9" s="48">
        <f>B5+B6+B7+B8</f>
        <v>50695.224</v>
      </c>
      <c r="C9" s="48">
        <f>C5+C6+C7+C8</f>
        <v>50442.36315</v>
      </c>
      <c r="D9" s="48">
        <f>SUM(D5:D8)</f>
        <v>53314.121845999995</v>
      </c>
      <c r="E9" s="48">
        <f>E5+E6+E7+E8</f>
        <v>154451.708996</v>
      </c>
      <c r="F9" s="48">
        <f>F5+F6+F7+F8</f>
        <v>51483.902998666665</v>
      </c>
      <c r="G9" s="49">
        <v>100</v>
      </c>
    </row>
    <row r="12" spans="1:21" s="51" customFormat="1" ht="15.75" customHeight="1">
      <c r="A12" s="252" t="s">
        <v>93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</row>
    <row r="13" spans="1:5" s="1" customFormat="1" ht="18.75">
      <c r="A13" s="253"/>
      <c r="B13" s="253"/>
      <c r="C13" s="253"/>
      <c r="D13" s="253"/>
      <c r="E13" s="253"/>
    </row>
    <row r="14" spans="1:21" s="51" customFormat="1" ht="24.75" customHeight="1">
      <c r="A14" s="254" t="s">
        <v>94</v>
      </c>
      <c r="B14" s="255" t="s">
        <v>7</v>
      </c>
      <c r="C14" s="255"/>
      <c r="D14" s="255"/>
      <c r="E14" s="255"/>
      <c r="F14" s="255"/>
      <c r="G14" s="256" t="s">
        <v>8</v>
      </c>
      <c r="H14" s="256"/>
      <c r="I14" s="256"/>
      <c r="J14" s="256"/>
      <c r="K14" s="256"/>
      <c r="L14" s="255" t="s">
        <v>9</v>
      </c>
      <c r="M14" s="255"/>
      <c r="N14" s="255"/>
      <c r="O14" s="255"/>
      <c r="P14" s="255"/>
      <c r="Q14" s="257"/>
      <c r="R14" s="257"/>
      <c r="S14" s="257"/>
      <c r="T14" s="257"/>
      <c r="U14" s="257"/>
    </row>
    <row r="15" spans="1:21" s="51" customFormat="1" ht="31.5">
      <c r="A15" s="254"/>
      <c r="B15" s="239" t="s">
        <v>96</v>
      </c>
      <c r="C15" s="239" t="s">
        <v>164</v>
      </c>
      <c r="D15" s="239" t="s">
        <v>165</v>
      </c>
      <c r="E15" s="52" t="s">
        <v>97</v>
      </c>
      <c r="F15" s="53" t="s">
        <v>98</v>
      </c>
      <c r="G15" s="239" t="s">
        <v>96</v>
      </c>
      <c r="H15" s="239" t="s">
        <v>164</v>
      </c>
      <c r="I15" s="239" t="s">
        <v>165</v>
      </c>
      <c r="J15" s="52" t="s">
        <v>97</v>
      </c>
      <c r="K15" s="54" t="s">
        <v>98</v>
      </c>
      <c r="L15" s="239" t="s">
        <v>96</v>
      </c>
      <c r="M15" s="239" t="s">
        <v>164</v>
      </c>
      <c r="N15" s="239" t="s">
        <v>165</v>
      </c>
      <c r="O15" s="52" t="s">
        <v>97</v>
      </c>
      <c r="P15" s="53" t="s">
        <v>98</v>
      </c>
      <c r="Q15" s="55"/>
      <c r="R15" s="55"/>
      <c r="S15" s="55"/>
      <c r="T15" s="56"/>
      <c r="U15" s="56"/>
    </row>
    <row r="16" spans="1:21" s="51" customFormat="1" ht="31.5">
      <c r="A16" s="57" t="s">
        <v>99</v>
      </c>
      <c r="B16" s="60"/>
      <c r="C16" s="60"/>
      <c r="D16" s="60"/>
      <c r="E16" s="60">
        <f>+B16+C16+D16</f>
        <v>0</v>
      </c>
      <c r="F16" s="232">
        <f aca="true" t="shared" si="1" ref="F16:F21">+E16/3</f>
        <v>0</v>
      </c>
      <c r="G16" s="60">
        <v>1337.20062</v>
      </c>
      <c r="H16" s="60">
        <v>1397.22236</v>
      </c>
      <c r="I16" s="60">
        <v>1418.88916</v>
      </c>
      <c r="J16" s="60">
        <f>+G16+H16+I16</f>
        <v>4153.31214</v>
      </c>
      <c r="K16" s="236">
        <f aca="true" t="shared" si="2" ref="K16:K21">+J16/3</f>
        <v>1384.43738</v>
      </c>
      <c r="L16" s="60">
        <v>1920.2865</v>
      </c>
      <c r="M16" s="60">
        <v>2078.10685</v>
      </c>
      <c r="N16" s="60">
        <v>1911.29525</v>
      </c>
      <c r="O16" s="60">
        <f>+L16+M16+N16</f>
        <v>5909.6886</v>
      </c>
      <c r="P16" s="232">
        <f>+O16/3</f>
        <v>1969.8962000000001</v>
      </c>
      <c r="Q16" s="61"/>
      <c r="R16" s="61"/>
      <c r="S16" s="61"/>
      <c r="T16" s="61"/>
      <c r="U16" s="61"/>
    </row>
    <row r="17" spans="1:21" s="51" customFormat="1" ht="15.75">
      <c r="A17" s="57" t="s">
        <v>100</v>
      </c>
      <c r="B17" s="60">
        <v>14652.95687</v>
      </c>
      <c r="C17" s="60">
        <v>13173.1346</v>
      </c>
      <c r="D17" s="60">
        <v>13196.2</v>
      </c>
      <c r="E17" s="60">
        <f>+B17+C17+D17</f>
        <v>41022.29147</v>
      </c>
      <c r="F17" s="232">
        <f t="shared" si="1"/>
        <v>13674.097156666665</v>
      </c>
      <c r="G17" s="60">
        <v>3543.67358</v>
      </c>
      <c r="H17" s="60">
        <v>3605.49565</v>
      </c>
      <c r="I17" s="60">
        <v>3054.50074</v>
      </c>
      <c r="J17" s="60">
        <f>+G17+H17+I17</f>
        <v>10203.669969999999</v>
      </c>
      <c r="K17" s="236">
        <f t="shared" si="2"/>
        <v>3401.223323333333</v>
      </c>
      <c r="L17" s="60">
        <v>3732.64202</v>
      </c>
      <c r="M17" s="60">
        <v>4889.19587</v>
      </c>
      <c r="N17" s="60">
        <v>5302.68104</v>
      </c>
      <c r="O17" s="60">
        <f>+L17+M17+N17</f>
        <v>13924.518929999998</v>
      </c>
      <c r="P17" s="232">
        <f>+O17/3</f>
        <v>4641.50631</v>
      </c>
      <c r="Q17" s="61"/>
      <c r="R17" s="61"/>
      <c r="S17" s="61"/>
      <c r="T17" s="61"/>
      <c r="U17" s="61"/>
    </row>
    <row r="18" spans="1:21" s="51" customFormat="1" ht="31.5">
      <c r="A18" s="57" t="s">
        <v>101</v>
      </c>
      <c r="B18" s="60">
        <v>2719.2369</v>
      </c>
      <c r="C18" s="60">
        <v>3880.43082</v>
      </c>
      <c r="D18" s="60">
        <v>4352.5</v>
      </c>
      <c r="E18" s="60">
        <f>+B18+C18+D18</f>
        <v>10952.16772</v>
      </c>
      <c r="F18" s="232">
        <f t="shared" si="1"/>
        <v>3650.722573333333</v>
      </c>
      <c r="G18" s="60">
        <v>583.989</v>
      </c>
      <c r="H18" s="60">
        <v>296.84823</v>
      </c>
      <c r="I18" s="60">
        <v>10.7</v>
      </c>
      <c r="J18" s="60">
        <f>+G18+H18+I18</f>
        <v>891.5372300000001</v>
      </c>
      <c r="K18" s="236">
        <f t="shared" si="2"/>
        <v>297.17907666666673</v>
      </c>
      <c r="L18" s="60">
        <v>368.72633</v>
      </c>
      <c r="M18" s="60">
        <v>593.09591</v>
      </c>
      <c r="N18" s="60">
        <v>790.79793</v>
      </c>
      <c r="O18" s="60">
        <f>+L18+M18+N18</f>
        <v>1752.62017</v>
      </c>
      <c r="P18" s="232">
        <f>+O18/3</f>
        <v>584.2067233333333</v>
      </c>
      <c r="Q18" s="61"/>
      <c r="R18" s="61"/>
      <c r="S18" s="61"/>
      <c r="T18" s="61"/>
      <c r="U18" s="61"/>
    </row>
    <row r="19" spans="1:21" s="51" customFormat="1" ht="24.75" customHeight="1">
      <c r="A19" s="57" t="s">
        <v>102</v>
      </c>
      <c r="B19" s="60">
        <v>9470.1096</v>
      </c>
      <c r="C19" s="60">
        <v>6969.11423</v>
      </c>
      <c r="D19" s="60">
        <v>9522</v>
      </c>
      <c r="E19" s="60">
        <f>+B19+C19+D19</f>
        <v>25961.22383</v>
      </c>
      <c r="F19" s="232">
        <f t="shared" si="1"/>
        <v>8653.741276666666</v>
      </c>
      <c r="G19" s="60">
        <v>735.27492</v>
      </c>
      <c r="H19" s="60">
        <v>1146.65065</v>
      </c>
      <c r="I19" s="60">
        <v>1226.71812</v>
      </c>
      <c r="J19" s="60">
        <f>+G19+H19+I19</f>
        <v>3108.64369</v>
      </c>
      <c r="K19" s="236">
        <f t="shared" si="2"/>
        <v>1036.2145633333332</v>
      </c>
      <c r="L19" s="60">
        <v>1017.63624</v>
      </c>
      <c r="M19" s="60">
        <v>776.52869</v>
      </c>
      <c r="N19" s="60">
        <v>1252.16816</v>
      </c>
      <c r="O19" s="60">
        <f>+L19+M19+N19</f>
        <v>3046.33309</v>
      </c>
      <c r="P19" s="232">
        <f>+O19/3</f>
        <v>1015.4443633333334</v>
      </c>
      <c r="Q19" s="61"/>
      <c r="R19" s="61"/>
      <c r="S19" s="61"/>
      <c r="T19" s="61"/>
      <c r="U19" s="61"/>
    </row>
    <row r="20" spans="1:21" s="66" customFormat="1" ht="15.75" hidden="1">
      <c r="A20" s="62"/>
      <c r="B20" s="231"/>
      <c r="C20" s="63"/>
      <c r="D20" s="63"/>
      <c r="E20" s="63"/>
      <c r="F20" s="64">
        <f t="shared" si="1"/>
        <v>0</v>
      </c>
      <c r="G20" s="231"/>
      <c r="H20" s="231"/>
      <c r="I20" s="231"/>
      <c r="J20" s="231"/>
      <c r="K20" s="237">
        <f t="shared" si="2"/>
        <v>0</v>
      </c>
      <c r="L20" s="63"/>
      <c r="M20" s="231"/>
      <c r="N20" s="231"/>
      <c r="O20" s="231"/>
      <c r="P20" s="233">
        <f>+O20/2</f>
        <v>0</v>
      </c>
      <c r="Q20" s="65"/>
      <c r="R20" s="65"/>
      <c r="S20" s="65"/>
      <c r="T20" s="65"/>
      <c r="U20" s="65"/>
    </row>
    <row r="21" spans="1:21" s="66" customFormat="1" ht="15.75" hidden="1">
      <c r="A21" s="62"/>
      <c r="B21" s="231"/>
      <c r="C21" s="63"/>
      <c r="D21" s="63"/>
      <c r="E21" s="63"/>
      <c r="F21" s="64">
        <f t="shared" si="1"/>
        <v>0</v>
      </c>
      <c r="G21" s="231"/>
      <c r="H21" s="231"/>
      <c r="I21" s="231"/>
      <c r="J21" s="231"/>
      <c r="K21" s="237">
        <f t="shared" si="2"/>
        <v>0</v>
      </c>
      <c r="L21" s="63"/>
      <c r="M21" s="231"/>
      <c r="N21" s="231"/>
      <c r="O21" s="231"/>
      <c r="P21" s="234">
        <f>+O21/3</f>
        <v>0</v>
      </c>
      <c r="Q21" s="65"/>
      <c r="R21" s="65"/>
      <c r="S21" s="65"/>
      <c r="T21" s="65"/>
      <c r="U21" s="65"/>
    </row>
    <row r="22" spans="1:21" s="51" customFormat="1" ht="15.75">
      <c r="A22" s="67" t="s">
        <v>103</v>
      </c>
      <c r="B22" s="70">
        <f>+B16+B17+B18+B19</f>
        <v>26842.303369999998</v>
      </c>
      <c r="C22" s="70">
        <f>+C16+C17+C18+C19</f>
        <v>24022.67965</v>
      </c>
      <c r="D22" s="70">
        <f aca="true" t="shared" si="3" ref="D22:P22">+D16+D17+D18+D19</f>
        <v>27070.7</v>
      </c>
      <c r="E22" s="70">
        <f t="shared" si="3"/>
        <v>77935.68302</v>
      </c>
      <c r="F22" s="235">
        <f t="shared" si="3"/>
        <v>25978.561006666663</v>
      </c>
      <c r="G22" s="70">
        <f t="shared" si="3"/>
        <v>6200.13812</v>
      </c>
      <c r="H22" s="70">
        <f t="shared" si="3"/>
        <v>6446.21689</v>
      </c>
      <c r="I22" s="70">
        <f t="shared" si="3"/>
        <v>5710.80802</v>
      </c>
      <c r="J22" s="70">
        <f t="shared" si="3"/>
        <v>18357.16303</v>
      </c>
      <c r="K22" s="238">
        <f t="shared" si="3"/>
        <v>6119.054343333332</v>
      </c>
      <c r="L22" s="70">
        <f t="shared" si="3"/>
        <v>7039.29109</v>
      </c>
      <c r="M22" s="70">
        <f t="shared" si="3"/>
        <v>8336.927319999999</v>
      </c>
      <c r="N22" s="70">
        <f t="shared" si="3"/>
        <v>9256.94238</v>
      </c>
      <c r="O22" s="70">
        <f t="shared" si="3"/>
        <v>24633.160789999998</v>
      </c>
      <c r="P22" s="235">
        <f t="shared" si="3"/>
        <v>8211.053596666667</v>
      </c>
      <c r="Q22" s="72"/>
      <c r="R22" s="72"/>
      <c r="S22" s="72"/>
      <c r="T22" s="72"/>
      <c r="U22" s="72"/>
    </row>
    <row r="23" spans="1:21" s="74" customFormat="1" ht="15.75">
      <c r="A23" s="73"/>
      <c r="B23" s="68"/>
      <c r="C23" s="68"/>
      <c r="D23" s="68"/>
      <c r="E23" s="68">
        <f>+B23+C23+D23</f>
        <v>0</v>
      </c>
      <c r="F23" s="69">
        <f>+E23/3</f>
        <v>0</v>
      </c>
      <c r="G23" s="68"/>
      <c r="H23" s="68"/>
      <c r="I23" s="68"/>
      <c r="J23" s="68">
        <f>+G23+H23+I23</f>
        <v>0</v>
      </c>
      <c r="K23" s="71">
        <f>+J23/3</f>
        <v>0</v>
      </c>
      <c r="L23" s="68"/>
      <c r="M23" s="68"/>
      <c r="N23" s="68"/>
      <c r="O23" s="68">
        <f>+L23+M23+N23</f>
        <v>0</v>
      </c>
      <c r="P23" s="69">
        <f>+O23/3</f>
        <v>0</v>
      </c>
      <c r="Q23" s="72"/>
      <c r="R23" s="72"/>
      <c r="S23" s="72"/>
      <c r="T23" s="72"/>
      <c r="U23" s="72"/>
    </row>
    <row r="24" spans="1:21" s="51" customFormat="1" ht="15.75">
      <c r="A24" s="75"/>
      <c r="B24" s="76"/>
      <c r="C24" s="76"/>
      <c r="D24" s="76"/>
      <c r="E24" s="76"/>
      <c r="F24" s="77">
        <f>+F22-F23</f>
        <v>25978.561006666663</v>
      </c>
      <c r="G24" s="76"/>
      <c r="H24" s="76"/>
      <c r="I24" s="76"/>
      <c r="J24" s="76"/>
      <c r="K24" s="77">
        <f>+K22-K23</f>
        <v>6119.054343333332</v>
      </c>
      <c r="L24" s="78"/>
      <c r="M24" s="79"/>
      <c r="N24" s="79"/>
      <c r="O24" s="79"/>
      <c r="P24" s="80">
        <f>+P22-P23</f>
        <v>8211.053596666667</v>
      </c>
      <c r="Q24" s="81"/>
      <c r="R24" s="81"/>
      <c r="S24" s="81"/>
      <c r="T24" s="81"/>
      <c r="U24" s="81"/>
    </row>
    <row r="25" spans="1:21" s="51" customFormat="1" ht="15.75">
      <c r="A25" s="82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8"/>
      <c r="M25" s="79"/>
      <c r="N25" s="79"/>
      <c r="O25" s="79"/>
      <c r="P25" s="80"/>
      <c r="Q25" s="81"/>
      <c r="R25" s="81"/>
      <c r="S25" s="81"/>
      <c r="T25" s="81"/>
      <c r="U25" s="81"/>
    </row>
    <row r="26" spans="1:21" s="51" customFormat="1" ht="24.75" customHeight="1">
      <c r="A26" s="254" t="s">
        <v>94</v>
      </c>
      <c r="B26" s="256" t="s">
        <v>10</v>
      </c>
      <c r="C26" s="256"/>
      <c r="D26" s="256"/>
      <c r="E26" s="256"/>
      <c r="F26" s="256"/>
      <c r="G26" s="256" t="s">
        <v>11</v>
      </c>
      <c r="H26" s="256"/>
      <c r="I26" s="256"/>
      <c r="J26" s="256"/>
      <c r="K26" s="256"/>
      <c r="L26" s="258"/>
      <c r="M26" s="258"/>
      <c r="N26" s="258"/>
      <c r="O26" s="258"/>
      <c r="P26" s="258"/>
      <c r="Q26" s="259"/>
      <c r="R26" s="259"/>
      <c r="S26" s="259"/>
      <c r="T26" s="259"/>
      <c r="U26" s="259"/>
    </row>
    <row r="27" spans="1:21" s="51" customFormat="1" ht="31.5">
      <c r="A27" s="254"/>
      <c r="B27" s="83" t="s">
        <v>96</v>
      </c>
      <c r="C27" s="83" t="s">
        <v>164</v>
      </c>
      <c r="D27" s="83" t="s">
        <v>165</v>
      </c>
      <c r="E27" s="84" t="s">
        <v>97</v>
      </c>
      <c r="F27" s="85" t="s">
        <v>98</v>
      </c>
      <c r="G27" s="239" t="s">
        <v>96</v>
      </c>
      <c r="H27" s="239" t="s">
        <v>164</v>
      </c>
      <c r="I27" s="239" t="s">
        <v>165</v>
      </c>
      <c r="J27" s="52" t="s">
        <v>97</v>
      </c>
      <c r="K27" s="54" t="s">
        <v>98</v>
      </c>
      <c r="L27" s="83"/>
      <c r="M27" s="83"/>
      <c r="N27" s="83"/>
      <c r="O27" s="84"/>
      <c r="P27" s="85"/>
      <c r="Q27" s="86"/>
      <c r="R27" s="86"/>
      <c r="S27" s="86"/>
      <c r="T27" s="87"/>
      <c r="U27" s="87"/>
    </row>
    <row r="28" spans="1:21" s="51" customFormat="1" ht="31.5">
      <c r="A28" s="57" t="s">
        <v>99</v>
      </c>
      <c r="B28" s="60">
        <v>1437.62459</v>
      </c>
      <c r="C28" s="60">
        <v>1649.65613</v>
      </c>
      <c r="D28" s="60">
        <v>2026.66367</v>
      </c>
      <c r="E28" s="60">
        <f>+B28+C28+D28</f>
        <v>5113.94439</v>
      </c>
      <c r="F28" s="232">
        <f aca="true" t="shared" si="4" ref="F28:F33">+E28/3</f>
        <v>1704.6481299999998</v>
      </c>
      <c r="G28" s="60">
        <v>1682.15348</v>
      </c>
      <c r="H28" s="60">
        <v>1678.71153</v>
      </c>
      <c r="I28" s="60">
        <v>1687.16923</v>
      </c>
      <c r="J28" s="60">
        <f>+G28+H28+I28</f>
        <v>5048.03424</v>
      </c>
      <c r="K28" s="236">
        <f aca="true" t="shared" si="5" ref="K28:K33">+J28/3</f>
        <v>1682.67808</v>
      </c>
      <c r="L28" s="58"/>
      <c r="M28" s="58"/>
      <c r="N28" s="58"/>
      <c r="O28" s="58"/>
      <c r="P28" s="59"/>
      <c r="Q28" s="61"/>
      <c r="R28" s="61"/>
      <c r="S28" s="61"/>
      <c r="T28" s="61"/>
      <c r="U28" s="61"/>
    </row>
    <row r="29" spans="1:21" s="51" customFormat="1" ht="19.5" customHeight="1">
      <c r="A29" s="57" t="s">
        <v>100</v>
      </c>
      <c r="B29" s="60">
        <v>625.14079</v>
      </c>
      <c r="C29" s="60">
        <v>705.94843</v>
      </c>
      <c r="D29" s="60">
        <v>446.80052</v>
      </c>
      <c r="E29" s="60">
        <f>+B29+C29+D29</f>
        <v>1777.88974</v>
      </c>
      <c r="F29" s="232">
        <f t="shared" si="4"/>
        <v>592.6299133333333</v>
      </c>
      <c r="G29" s="60">
        <v>2066.5099</v>
      </c>
      <c r="H29" s="60">
        <v>389.48135</v>
      </c>
      <c r="I29" s="60">
        <v>1730.40509</v>
      </c>
      <c r="J29" s="60">
        <f>+G29+H29+I29</f>
        <v>4186.39634</v>
      </c>
      <c r="K29" s="236">
        <f t="shared" si="5"/>
        <v>1395.4654466666668</v>
      </c>
      <c r="L29" s="58"/>
      <c r="M29" s="58"/>
      <c r="N29" s="58"/>
      <c r="O29" s="58"/>
      <c r="P29" s="59"/>
      <c r="Q29" s="61"/>
      <c r="R29" s="61"/>
      <c r="S29" s="61"/>
      <c r="T29" s="61"/>
      <c r="U29" s="61"/>
    </row>
    <row r="30" spans="1:21" s="51" customFormat="1" ht="31.5">
      <c r="A30" s="57" t="s">
        <v>101</v>
      </c>
      <c r="B30" s="60">
        <v>751.52432</v>
      </c>
      <c r="C30" s="60">
        <v>835.82335</v>
      </c>
      <c r="D30" s="60">
        <v>507.68027</v>
      </c>
      <c r="E30" s="60">
        <f>+B30+C30+D30</f>
        <v>2095.02794</v>
      </c>
      <c r="F30" s="232">
        <f t="shared" si="4"/>
        <v>698.3426466666666</v>
      </c>
      <c r="G30" s="60">
        <v>431.25218</v>
      </c>
      <c r="H30" s="60">
        <v>644.4608</v>
      </c>
      <c r="I30" s="60">
        <v>188.54202</v>
      </c>
      <c r="J30" s="60">
        <f>+G30+H30+I30</f>
        <v>1264.255</v>
      </c>
      <c r="K30" s="236">
        <f t="shared" si="5"/>
        <v>421.41833333333335</v>
      </c>
      <c r="L30" s="58"/>
      <c r="M30" s="58"/>
      <c r="N30" s="58"/>
      <c r="O30" s="58"/>
      <c r="P30" s="59"/>
      <c r="Q30" s="61"/>
      <c r="R30" s="61"/>
      <c r="S30" s="61"/>
      <c r="T30" s="61"/>
      <c r="U30" s="61"/>
    </row>
    <row r="31" spans="1:21" s="51" customFormat="1" ht="26.25" customHeight="1">
      <c r="A31" s="57" t="s">
        <v>102</v>
      </c>
      <c r="B31" s="60">
        <v>2984.80887</v>
      </c>
      <c r="C31" s="60">
        <v>5243.24609</v>
      </c>
      <c r="D31" s="60">
        <v>4112.44178</v>
      </c>
      <c r="E31" s="60">
        <f>+B31+C31+D31</f>
        <v>12340.496739999999</v>
      </c>
      <c r="F31" s="232">
        <f t="shared" si="4"/>
        <v>4113.498913333333</v>
      </c>
      <c r="G31" s="60">
        <v>634.47729</v>
      </c>
      <c r="H31" s="60">
        <v>489.21161</v>
      </c>
      <c r="I31" s="60">
        <v>575.968866</v>
      </c>
      <c r="J31" s="60">
        <f>+G31+H31+I31</f>
        <v>1699.6577660000003</v>
      </c>
      <c r="K31" s="236">
        <f t="shared" si="5"/>
        <v>566.5525886666668</v>
      </c>
      <c r="L31" s="58"/>
      <c r="M31" s="58"/>
      <c r="N31" s="58"/>
      <c r="O31" s="58"/>
      <c r="P31" s="59"/>
      <c r="Q31" s="61"/>
      <c r="R31" s="61"/>
      <c r="S31" s="61"/>
      <c r="T31" s="61"/>
      <c r="U31" s="61"/>
    </row>
    <row r="32" spans="1:21" s="66" customFormat="1" ht="31.5" hidden="1">
      <c r="A32" s="62" t="s">
        <v>104</v>
      </c>
      <c r="B32" s="63"/>
      <c r="C32" s="231"/>
      <c r="D32" s="231"/>
      <c r="E32" s="231"/>
      <c r="F32" s="234">
        <f t="shared" si="4"/>
        <v>0</v>
      </c>
      <c r="G32" s="231"/>
      <c r="H32" s="231"/>
      <c r="I32" s="231"/>
      <c r="J32" s="231"/>
      <c r="K32" s="237">
        <f t="shared" si="5"/>
        <v>0</v>
      </c>
      <c r="L32" s="63"/>
      <c r="M32" s="63"/>
      <c r="N32" s="63"/>
      <c r="O32" s="63"/>
      <c r="P32" s="64"/>
      <c r="Q32" s="65"/>
      <c r="R32" s="65"/>
      <c r="S32" s="65"/>
      <c r="T32" s="65"/>
      <c r="U32" s="65"/>
    </row>
    <row r="33" spans="1:21" s="66" customFormat="1" ht="15.75" hidden="1">
      <c r="A33" s="62" t="s">
        <v>102</v>
      </c>
      <c r="B33" s="63"/>
      <c r="C33" s="231"/>
      <c r="D33" s="231"/>
      <c r="E33" s="231"/>
      <c r="F33" s="234">
        <f t="shared" si="4"/>
        <v>0</v>
      </c>
      <c r="G33" s="231"/>
      <c r="H33" s="231"/>
      <c r="I33" s="231"/>
      <c r="J33" s="231"/>
      <c r="K33" s="237">
        <f t="shared" si="5"/>
        <v>0</v>
      </c>
      <c r="L33" s="63"/>
      <c r="M33" s="63"/>
      <c r="N33" s="63"/>
      <c r="O33" s="63"/>
      <c r="P33" s="64"/>
      <c r="Q33" s="65"/>
      <c r="R33" s="65"/>
      <c r="S33" s="65"/>
      <c r="T33" s="65"/>
      <c r="U33" s="65"/>
    </row>
    <row r="34" spans="1:21" s="51" customFormat="1" ht="15.75">
      <c r="A34" s="67" t="s">
        <v>103</v>
      </c>
      <c r="B34" s="70">
        <f aca="true" t="shared" si="6" ref="B34:K34">+B28+B29+B30+B31</f>
        <v>5799.09857</v>
      </c>
      <c r="C34" s="70">
        <f t="shared" si="6"/>
        <v>8434.673999999999</v>
      </c>
      <c r="D34" s="70">
        <f t="shared" si="6"/>
        <v>7093.58624</v>
      </c>
      <c r="E34" s="70">
        <f t="shared" si="6"/>
        <v>21327.358809999998</v>
      </c>
      <c r="F34" s="235">
        <f t="shared" si="6"/>
        <v>7109.119603333333</v>
      </c>
      <c r="G34" s="70">
        <f t="shared" si="6"/>
        <v>4814.39285</v>
      </c>
      <c r="H34" s="70">
        <f t="shared" si="6"/>
        <v>3201.8652899999997</v>
      </c>
      <c r="I34" s="70">
        <f t="shared" si="6"/>
        <v>4182.085206</v>
      </c>
      <c r="J34" s="70">
        <f t="shared" si="6"/>
        <v>12198.343346000001</v>
      </c>
      <c r="K34" s="238">
        <f t="shared" si="6"/>
        <v>4066.114448666667</v>
      </c>
      <c r="L34" s="68"/>
      <c r="M34" s="68"/>
      <c r="N34" s="68"/>
      <c r="O34" s="68"/>
      <c r="P34" s="69"/>
      <c r="Q34" s="72"/>
      <c r="R34" s="72"/>
      <c r="S34" s="72"/>
      <c r="T34" s="72"/>
      <c r="U34" s="72"/>
    </row>
    <row r="35" spans="1:21" s="51" customFormat="1" ht="15.75">
      <c r="A35" s="67"/>
      <c r="B35" s="68"/>
      <c r="C35" s="68"/>
      <c r="D35" s="68"/>
      <c r="E35" s="68">
        <f>+B35+C35+D35</f>
        <v>0</v>
      </c>
      <c r="F35" s="69">
        <f>+E35/3</f>
        <v>0</v>
      </c>
      <c r="G35" s="68"/>
      <c r="H35" s="68"/>
      <c r="I35" s="68"/>
      <c r="J35" s="68">
        <f>+G35+H35+I35</f>
        <v>0</v>
      </c>
      <c r="K35" s="71">
        <f>+J35/3</f>
        <v>0</v>
      </c>
      <c r="L35" s="68"/>
      <c r="M35" s="68"/>
      <c r="N35" s="68"/>
      <c r="O35" s="68"/>
      <c r="P35" s="69"/>
      <c r="Q35" s="72"/>
      <c r="R35" s="72"/>
      <c r="S35" s="72"/>
      <c r="T35" s="72"/>
      <c r="U35" s="72"/>
    </row>
    <row r="36" spans="1:21" s="51" customFormat="1" ht="15.75">
      <c r="A36" s="82"/>
      <c r="B36" s="77"/>
      <c r="C36" s="77"/>
      <c r="D36" s="77"/>
      <c r="E36" s="77"/>
      <c r="F36" s="77">
        <f>+F34-F35</f>
        <v>7109.119603333333</v>
      </c>
      <c r="G36" s="77"/>
      <c r="H36" s="77"/>
      <c r="I36" s="77"/>
      <c r="J36" s="77"/>
      <c r="K36" s="77">
        <f>+K34-K35</f>
        <v>4066.114448666667</v>
      </c>
      <c r="L36" s="77"/>
      <c r="M36" s="77"/>
      <c r="N36" s="77"/>
      <c r="O36" s="77"/>
      <c r="P36" s="77">
        <f>+P34-P35</f>
        <v>0</v>
      </c>
      <c r="Q36" s="81"/>
      <c r="R36" s="81"/>
      <c r="S36" s="81"/>
      <c r="T36" s="81"/>
      <c r="U36" s="81"/>
    </row>
    <row r="37" spans="1:21" s="51" customFormat="1" ht="15.75">
      <c r="A37" s="82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88"/>
      <c r="R37" s="88"/>
      <c r="S37" s="88"/>
      <c r="T37" s="88"/>
      <c r="U37" s="88"/>
    </row>
    <row r="38" spans="1:21" s="51" customFormat="1" ht="15.75" customHeight="1">
      <c r="A38" s="254" t="s">
        <v>94</v>
      </c>
      <c r="B38" s="258" t="s">
        <v>12</v>
      </c>
      <c r="C38" s="258"/>
      <c r="D38" s="258"/>
      <c r="E38" s="258"/>
      <c r="F38" s="258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88"/>
      <c r="R38" s="88"/>
      <c r="S38" s="88"/>
      <c r="T38" s="88"/>
      <c r="U38" s="88"/>
    </row>
    <row r="39" spans="1:21" s="51" customFormat="1" ht="31.5">
      <c r="A39" s="254"/>
      <c r="B39" s="83" t="s">
        <v>96</v>
      </c>
      <c r="C39" s="83" t="s">
        <v>164</v>
      </c>
      <c r="D39" s="83" t="s">
        <v>165</v>
      </c>
      <c r="E39" s="84" t="s">
        <v>97</v>
      </c>
      <c r="F39" s="85" t="s">
        <v>98</v>
      </c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88"/>
      <c r="R39" s="88"/>
      <c r="S39" s="88"/>
      <c r="T39" s="88"/>
      <c r="U39" s="88"/>
    </row>
    <row r="40" spans="1:21" s="51" customFormat="1" ht="31.5">
      <c r="A40" s="57" t="s">
        <v>99</v>
      </c>
      <c r="B40" s="58">
        <f>+B16+G16+L16+Q16+B28+G28+L28+Q28</f>
        <v>6377.265189999999</v>
      </c>
      <c r="C40" s="58">
        <f>+C16+H16+M16+R16+C28+H28+M28+R28</f>
        <v>6803.69687</v>
      </c>
      <c r="D40" s="58">
        <f>+D16+I16+N16+S16+D28+I28+N28+S28</f>
        <v>7044.017309999999</v>
      </c>
      <c r="E40" s="58">
        <f>+B40+C40+D40</f>
        <v>20224.979369999997</v>
      </c>
      <c r="F40" s="59">
        <f aca="true" t="shared" si="7" ref="F40:F45">+E40/3</f>
        <v>6741.659789999999</v>
      </c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88"/>
      <c r="R40" s="88"/>
      <c r="S40" s="88"/>
      <c r="T40" s="88"/>
      <c r="U40" s="88"/>
    </row>
    <row r="41" spans="1:21" s="51" customFormat="1" ht="22.5" customHeight="1">
      <c r="A41" s="57" t="s">
        <v>100</v>
      </c>
      <c r="B41" s="58">
        <f>+B17+G17+L17+B29+G29</f>
        <v>24620.923160000002</v>
      </c>
      <c r="C41" s="58">
        <f>+C17+H17+M17+C29+H29</f>
        <v>22763.255899999996</v>
      </c>
      <c r="D41" s="58">
        <f>+D17+I17+N17+S17+D29+I29+N29+S29</f>
        <v>23730.58739</v>
      </c>
      <c r="E41" s="58">
        <f>+B41+C41+D41</f>
        <v>71114.76645</v>
      </c>
      <c r="F41" s="59">
        <f t="shared" si="7"/>
        <v>23704.92215</v>
      </c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88"/>
      <c r="R41" s="88"/>
      <c r="S41" s="88"/>
      <c r="T41" s="88"/>
      <c r="U41" s="88"/>
    </row>
    <row r="42" spans="1:21" s="51" customFormat="1" ht="31.5">
      <c r="A42" s="57" t="s">
        <v>101</v>
      </c>
      <c r="B42" s="58">
        <f>+B18+G18+L18+Q18+B30+G30+L30+Q30</f>
        <v>4854.72873</v>
      </c>
      <c r="C42" s="58">
        <f>+C18+H18+M18+R18+C30+H30+M30+R30</f>
        <v>6250.65911</v>
      </c>
      <c r="D42" s="58">
        <f>+D18+I18+N18+S18+D30+I30+N30+S30</f>
        <v>5850.220219999999</v>
      </c>
      <c r="E42" s="58">
        <f>+B42+C42+D42</f>
        <v>16955.60806</v>
      </c>
      <c r="F42" s="59">
        <f t="shared" si="7"/>
        <v>5651.869353333333</v>
      </c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88"/>
      <c r="R42" s="88"/>
      <c r="S42" s="88"/>
      <c r="T42" s="88"/>
      <c r="U42" s="88"/>
    </row>
    <row r="43" spans="1:21" s="51" customFormat="1" ht="27" customHeight="1">
      <c r="A43" s="57" t="s">
        <v>102</v>
      </c>
      <c r="B43" s="58">
        <f>+B19+G19+L19+Q19+B31+G31+L31+Q31</f>
        <v>14842.30692</v>
      </c>
      <c r="C43" s="58">
        <f>+C19+H19+M19+R19+C31+H31+M31+R31</f>
        <v>14624.751269999999</v>
      </c>
      <c r="D43" s="58">
        <f>+D19+I19+N19+S19+D31+I31+N31+S31</f>
        <v>16689.296926</v>
      </c>
      <c r="E43" s="58">
        <f>+B43+C43+D43</f>
        <v>46156.355116</v>
      </c>
      <c r="F43" s="59">
        <f t="shared" si="7"/>
        <v>15385.451705333333</v>
      </c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88"/>
      <c r="R43" s="88"/>
      <c r="S43" s="88"/>
      <c r="T43" s="88"/>
      <c r="U43" s="88"/>
    </row>
    <row r="44" spans="1:21" s="66" customFormat="1" ht="15.75" hidden="1">
      <c r="A44" s="62"/>
      <c r="B44" s="63"/>
      <c r="C44" s="63"/>
      <c r="D44" s="63"/>
      <c r="E44" s="63"/>
      <c r="F44" s="64">
        <f t="shared" si="7"/>
        <v>0</v>
      </c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90"/>
      <c r="R44" s="90"/>
      <c r="S44" s="90"/>
      <c r="T44" s="90"/>
      <c r="U44" s="90"/>
    </row>
    <row r="45" spans="1:21" s="66" customFormat="1" ht="15.75" hidden="1">
      <c r="A45" s="62"/>
      <c r="B45" s="63"/>
      <c r="C45" s="63"/>
      <c r="D45" s="63"/>
      <c r="E45" s="63"/>
      <c r="F45" s="64">
        <f t="shared" si="7"/>
        <v>0</v>
      </c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90"/>
      <c r="R45" s="90"/>
      <c r="S45" s="90"/>
      <c r="T45" s="90"/>
      <c r="U45" s="90"/>
    </row>
    <row r="46" spans="1:21" s="51" customFormat="1" ht="15.75">
      <c r="A46" s="67" t="s">
        <v>103</v>
      </c>
      <c r="B46" s="68">
        <f>+B40+B41+B42+B43</f>
        <v>50695.224</v>
      </c>
      <c r="C46" s="68">
        <f>+C40+C41+C42+C43</f>
        <v>50442.36315</v>
      </c>
      <c r="D46" s="68">
        <f>+D40+D41+D42+D43</f>
        <v>53314.121845999995</v>
      </c>
      <c r="E46" s="68">
        <f>+E40+E41+E42+E43</f>
        <v>154451.708996</v>
      </c>
      <c r="F46" s="69">
        <f>+F40+F41+F42+F43</f>
        <v>51483.902998666665</v>
      </c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88"/>
      <c r="R46" s="88"/>
      <c r="S46" s="88"/>
      <c r="T46" s="88"/>
      <c r="U46" s="88"/>
    </row>
    <row r="47" spans="1:21" s="51" customFormat="1" ht="15.75">
      <c r="A47" s="91"/>
      <c r="B47" s="92">
        <f>B23+G23+L23+Q23+B35+G35+L35+Q35</f>
        <v>0</v>
      </c>
      <c r="C47" s="92">
        <f>C23+H23+M23+R23+C35+H35+M35+R35</f>
        <v>0</v>
      </c>
      <c r="D47" s="92">
        <f>D23+I23+N23+S23+D35+I35+N35+S35</f>
        <v>0</v>
      </c>
      <c r="E47" s="92">
        <f>+B47+C47+D47</f>
        <v>0</v>
      </c>
      <c r="F47" s="92">
        <f>+E47/3</f>
        <v>0</v>
      </c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88"/>
      <c r="R47" s="88"/>
      <c r="S47" s="88"/>
      <c r="T47" s="88"/>
      <c r="U47" s="88"/>
    </row>
    <row r="48" spans="1:21" s="51" customFormat="1" ht="15.75">
      <c r="A48" s="91"/>
      <c r="B48" s="93"/>
      <c r="C48" s="93"/>
      <c r="D48" s="93"/>
      <c r="E48" s="93"/>
      <c r="F48" s="93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88"/>
      <c r="R48" s="88"/>
      <c r="S48" s="88"/>
      <c r="T48" s="88"/>
      <c r="U48" s="88"/>
    </row>
    <row r="49" spans="1:21" s="51" customFormat="1" ht="15.75">
      <c r="A49" s="82"/>
      <c r="B49" s="77"/>
      <c r="C49" s="77"/>
      <c r="D49" s="77"/>
      <c r="E49" s="77"/>
      <c r="F49" s="77">
        <f>+F46-F47</f>
        <v>51483.902998666665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88"/>
      <c r="R49" s="88"/>
      <c r="S49" s="88"/>
      <c r="T49" s="88"/>
      <c r="U49" s="88"/>
    </row>
    <row r="50" s="1" customFormat="1" ht="15.75">
      <c r="A50" s="82"/>
    </row>
  </sheetData>
  <sheetProtection selectLockedCells="1" selectUnlockedCells="1"/>
  <mergeCells count="15">
    <mergeCell ref="A26:A27"/>
    <mergeCell ref="B26:F26"/>
    <mergeCell ref="G26:K26"/>
    <mergeCell ref="L26:P26"/>
    <mergeCell ref="Q26:U26"/>
    <mergeCell ref="A38:A39"/>
    <mergeCell ref="B38:F38"/>
    <mergeCell ref="A2:G2"/>
    <mergeCell ref="A12:U12"/>
    <mergeCell ref="A13:E13"/>
    <mergeCell ref="A14:A15"/>
    <mergeCell ref="B14:F14"/>
    <mergeCell ref="G14:K14"/>
    <mergeCell ref="L14:P14"/>
    <mergeCell ref="Q14:U1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T15"/>
  <sheetViews>
    <sheetView zoomScale="130" zoomScaleNormal="130" zoomScalePageLayoutView="0" workbookViewId="0" topLeftCell="A1">
      <pane xSplit="2" ySplit="5" topLeftCell="G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5" sqref="Q5"/>
    </sheetView>
  </sheetViews>
  <sheetFormatPr defaultColWidth="9.00390625" defaultRowHeight="12.75"/>
  <cols>
    <col min="1" max="1" width="3.125" style="0" customWidth="1"/>
    <col min="2" max="2" width="31.75390625" style="0" customWidth="1"/>
    <col min="3" max="3" width="10.625" style="0" customWidth="1"/>
    <col min="4" max="4" width="11.125" style="0" customWidth="1"/>
    <col min="5" max="5" width="13.75390625" style="94" customWidth="1"/>
    <col min="6" max="6" width="10.375" style="0" customWidth="1"/>
    <col min="7" max="7" width="11.25390625" style="0" customWidth="1"/>
    <col min="8" max="8" width="11.125" style="0" customWidth="1"/>
    <col min="9" max="9" width="12.25390625" style="94" customWidth="1"/>
    <col min="10" max="12" width="12.875" style="0" customWidth="1"/>
    <col min="13" max="13" width="12.875" style="95" customWidth="1"/>
    <col min="14" max="14" width="10.875" style="0" customWidth="1"/>
    <col min="15" max="16" width="9.00390625" style="0" customWidth="1"/>
    <col min="17" max="17" width="9.125" style="95" customWidth="1"/>
    <col min="18" max="18" width="13.00390625" style="94" customWidth="1"/>
    <col min="19" max="19" width="9.00390625" style="0" customWidth="1"/>
    <col min="20" max="20" width="9.125" style="40" customWidth="1"/>
  </cols>
  <sheetData>
    <row r="1" ht="12.75">
      <c r="N1" t="s">
        <v>105</v>
      </c>
    </row>
    <row r="2" spans="1:18" ht="66.75" customHeight="1">
      <c r="A2" s="260" t="s">
        <v>198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</row>
    <row r="4" spans="1:18" ht="38.25" customHeight="1">
      <c r="A4" s="261" t="s">
        <v>1</v>
      </c>
      <c r="B4" s="261" t="s">
        <v>2</v>
      </c>
      <c r="C4" s="262" t="s">
        <v>106</v>
      </c>
      <c r="D4" s="262"/>
      <c r="E4" s="262"/>
      <c r="F4" s="263" t="s">
        <v>90</v>
      </c>
      <c r="G4" s="263"/>
      <c r="H4" s="263"/>
      <c r="I4" s="263"/>
      <c r="J4" s="263" t="s">
        <v>89</v>
      </c>
      <c r="K4" s="263"/>
      <c r="L4" s="263"/>
      <c r="M4" s="263"/>
      <c r="N4" s="264" t="s">
        <v>107</v>
      </c>
      <c r="O4" s="264"/>
      <c r="P4" s="264"/>
      <c r="Q4" s="264"/>
      <c r="R4" s="265" t="s">
        <v>108</v>
      </c>
    </row>
    <row r="5" spans="1:20" ht="62.25" customHeight="1">
      <c r="A5" s="261"/>
      <c r="B5" s="261"/>
      <c r="C5" s="96" t="s">
        <v>109</v>
      </c>
      <c r="D5" s="96" t="s">
        <v>110</v>
      </c>
      <c r="E5" s="98" t="s">
        <v>207</v>
      </c>
      <c r="F5" s="97" t="s">
        <v>109</v>
      </c>
      <c r="G5" s="99" t="s">
        <v>111</v>
      </c>
      <c r="H5" s="97" t="s">
        <v>110</v>
      </c>
      <c r="I5" s="100" t="s">
        <v>207</v>
      </c>
      <c r="J5" s="97" t="s">
        <v>109</v>
      </c>
      <c r="K5" s="99" t="s">
        <v>111</v>
      </c>
      <c r="L5" s="97" t="s">
        <v>110</v>
      </c>
      <c r="M5" s="101" t="s">
        <v>207</v>
      </c>
      <c r="N5" s="97" t="s">
        <v>109</v>
      </c>
      <c r="O5" s="99" t="s">
        <v>111</v>
      </c>
      <c r="P5" s="97" t="s">
        <v>110</v>
      </c>
      <c r="Q5" s="101" t="s">
        <v>207</v>
      </c>
      <c r="R5" s="265"/>
      <c r="T5" s="102"/>
    </row>
    <row r="6" spans="1:18" ht="12.75">
      <c r="A6" s="103">
        <v>1</v>
      </c>
      <c r="B6" s="103">
        <v>2</v>
      </c>
      <c r="C6" s="104">
        <v>3</v>
      </c>
      <c r="D6" s="104">
        <v>4</v>
      </c>
      <c r="E6" s="105">
        <v>5</v>
      </c>
      <c r="F6" s="106">
        <v>6</v>
      </c>
      <c r="G6" s="106">
        <v>7</v>
      </c>
      <c r="H6" s="106">
        <v>8</v>
      </c>
      <c r="I6" s="105">
        <v>9</v>
      </c>
      <c r="J6" s="106">
        <v>10</v>
      </c>
      <c r="K6" s="106">
        <v>12</v>
      </c>
      <c r="L6" s="106">
        <v>13</v>
      </c>
      <c r="M6" s="107">
        <v>14</v>
      </c>
      <c r="N6" s="106">
        <v>15</v>
      </c>
      <c r="O6" s="106">
        <v>16</v>
      </c>
      <c r="P6" s="106">
        <v>17</v>
      </c>
      <c r="Q6" s="107">
        <v>18</v>
      </c>
      <c r="R6" s="105">
        <v>19</v>
      </c>
    </row>
    <row r="7" spans="1:18" ht="37.5" customHeight="1">
      <c r="A7" s="20">
        <v>1</v>
      </c>
      <c r="B7" s="8" t="s">
        <v>7</v>
      </c>
      <c r="C7" s="108">
        <f>+'Коэф.масшт.'!C5</f>
        <v>4275</v>
      </c>
      <c r="D7" s="22">
        <f>+'Коэф.масшт.'!D5</f>
        <v>0.8231766081871345</v>
      </c>
      <c r="E7" s="109">
        <f>((C7*D7/C7)/(C15*D15/C15))*'Расчет доли '!G5/100</f>
        <v>0.15851832595324566</v>
      </c>
      <c r="F7" s="108">
        <f>'Коэф.масшт.'!C5</f>
        <v>4275</v>
      </c>
      <c r="G7" s="110">
        <f>+'Коэф.дисп'!D6</f>
        <v>1.2025730994152046</v>
      </c>
      <c r="H7" s="22">
        <f>+'Коэф.масшт.'!D5</f>
        <v>0.8231766081871345</v>
      </c>
      <c r="I7" s="109">
        <f>((F7*G7*H7/F7)/(F15*G15*H15/F15))*11/100</f>
        <v>0.12088738233156666</v>
      </c>
      <c r="J7" s="108">
        <f>'Коэф.масшт.'!C5</f>
        <v>4275</v>
      </c>
      <c r="K7" s="110">
        <f>+G7</f>
        <v>1.2025730994152046</v>
      </c>
      <c r="L7" s="22">
        <f>+'Коэф.масшт.'!D5</f>
        <v>0.8231766081871345</v>
      </c>
      <c r="M7" s="109">
        <f>(J7*K7*L7/J7)/(J15*K15*L15/J15)*'Расчет доли '!G6/100</f>
        <v>0.506005640983161</v>
      </c>
      <c r="N7" s="108">
        <f>'Коэф.масшт.'!C5</f>
        <v>4275</v>
      </c>
      <c r="O7" s="110">
        <f>+G7</f>
        <v>1.2025730994152046</v>
      </c>
      <c r="P7" s="22">
        <f>'Коэф.масшт.'!D5</f>
        <v>0.8231766081871345</v>
      </c>
      <c r="Q7" s="109">
        <f>(O7*P7)/(O15*P15)*'Расчет доли '!G8/100</f>
        <v>0.32841809404434846</v>
      </c>
      <c r="R7" s="109">
        <f>+E7+I7+M7+Q7</f>
        <v>1.1138294433123217</v>
      </c>
    </row>
    <row r="8" spans="1:18" ht="28.5" customHeight="1">
      <c r="A8" s="20">
        <v>2</v>
      </c>
      <c r="B8" s="8" t="s">
        <v>8</v>
      </c>
      <c r="C8" s="108">
        <f>+'Коэф.масшт.'!C6</f>
        <v>2795</v>
      </c>
      <c r="D8" s="22">
        <f>+'Коэф.масшт.'!D6</f>
        <v>0.9413524150268336</v>
      </c>
      <c r="E8" s="109">
        <f>((C8*D8/C8)/(C15*D15/C15))*'Расчет доли '!G5/100</f>
        <v>0.18127532716305728</v>
      </c>
      <c r="F8" s="108">
        <f>'Коэф.масшт.'!C6</f>
        <v>2795</v>
      </c>
      <c r="G8" s="110">
        <f>+'Коэф.дисп'!D17</f>
        <v>1.1159212880143112</v>
      </c>
      <c r="H8" s="22">
        <f>+'Коэф.масшт.'!D6</f>
        <v>0.9413524150268336</v>
      </c>
      <c r="I8" s="109">
        <f>((F8*G8*H8/F8)/(F15*G15*H15/F15))*'Расчет доли '!G7/100</f>
        <v>0.1280236595668001</v>
      </c>
      <c r="J8" s="108">
        <f>'Коэф.масшт.'!C6</f>
        <v>2795</v>
      </c>
      <c r="K8" s="110">
        <f>+G8</f>
        <v>1.1159212880143112</v>
      </c>
      <c r="L8" s="22">
        <f>+'Коэф.масшт.'!D6</f>
        <v>0.9413524150268336</v>
      </c>
      <c r="M8" s="109">
        <f>(J8*K8*L8/J8)/(J15*K15*L15/J15)*'Расчет доли '!G6/100</f>
        <v>0.536953473915538</v>
      </c>
      <c r="N8" s="108">
        <f>'Коэф.масшт.'!C6</f>
        <v>2795</v>
      </c>
      <c r="O8" s="110">
        <f>+G8</f>
        <v>1.1159212880143112</v>
      </c>
      <c r="P8" s="22">
        <f>'Коэф.масшт.'!D6</f>
        <v>0.9413524150268336</v>
      </c>
      <c r="Q8" s="109">
        <f>(O8*P8)/(O15*P15)*'Расчет доли '!G8/100</f>
        <v>0.3485044873238899</v>
      </c>
      <c r="R8" s="109">
        <f>+E8+I8+M8+Q8</f>
        <v>1.1947569479692852</v>
      </c>
    </row>
    <row r="9" spans="1:18" ht="25.5" customHeight="1">
      <c r="A9" s="20">
        <v>3</v>
      </c>
      <c r="B9" s="8" t="s">
        <v>9</v>
      </c>
      <c r="C9" s="108">
        <f>+'Коэф.масшт.'!C7</f>
        <v>1429</v>
      </c>
      <c r="D9" s="22">
        <f>+'Коэф.масшт.'!D7</f>
        <v>1.2676557032890132</v>
      </c>
      <c r="E9" s="109">
        <f>((C9*D9/C9)/(C15*D15/C15))*'Расчет доли '!G5/100</f>
        <v>0.24411123684988997</v>
      </c>
      <c r="F9" s="108">
        <f>'Коэф.масшт.'!C7</f>
        <v>1429</v>
      </c>
      <c r="G9" s="110">
        <f>'Коэф.дисп'!D21</f>
        <v>2</v>
      </c>
      <c r="H9" s="22">
        <f>+'Коэф.масшт.'!D7</f>
        <v>1.2676557032890132</v>
      </c>
      <c r="I9" s="109">
        <f>((F9*G9*H9/F9)/(F15*G15*H15/F15))*'Расчет доли '!G7/100</f>
        <v>0.3089838242548271</v>
      </c>
      <c r="J9" s="108">
        <f>'Коэф.масшт.'!C7</f>
        <v>1429</v>
      </c>
      <c r="K9" s="110">
        <f>+G9</f>
        <v>2</v>
      </c>
      <c r="L9" s="22">
        <f>+'Коэф.масшт.'!D7</f>
        <v>1.2676557032890132</v>
      </c>
      <c r="M9" s="109">
        <f>(J9*K9*L9/J9)/(J15*K15*L15/J15)*'Расчет доли '!G6/100</f>
        <v>1.295931848681213</v>
      </c>
      <c r="N9" s="108">
        <f>'Коэф.масшт.'!C7</f>
        <v>1429</v>
      </c>
      <c r="O9" s="110">
        <f>+G9</f>
        <v>2</v>
      </c>
      <c r="P9" s="22">
        <f>'Коэф.масшт.'!D7</f>
        <v>1.2676557032890132</v>
      </c>
      <c r="Q9" s="109">
        <f>(O9*P9)/(O15*P15)*'Расчет доли '!G8/100</f>
        <v>0.8411121009012953</v>
      </c>
      <c r="R9" s="109">
        <f>+E9+I9+M9+Q9</f>
        <v>2.690139010687225</v>
      </c>
    </row>
    <row r="10" spans="1:18" ht="23.25" customHeight="1">
      <c r="A10" s="20">
        <v>4</v>
      </c>
      <c r="B10" s="8" t="s">
        <v>10</v>
      </c>
      <c r="C10" s="108">
        <f>+'Коэф.масшт.'!C8</f>
        <v>2010</v>
      </c>
      <c r="D10" s="22">
        <f>+'Коэф.масшт.'!D8</f>
        <v>1.0746666666666667</v>
      </c>
      <c r="E10" s="109">
        <f>((C10*D10/C10)/(C15*D15/C15))*'Расчет доли '!G5/100</f>
        <v>0.20694752409561626</v>
      </c>
      <c r="F10" s="108">
        <f>'Коэф.масшт.'!C8</f>
        <v>2010</v>
      </c>
      <c r="G10" s="110">
        <f>'Коэф.дисп'!D29</f>
        <v>1.3044776119402985</v>
      </c>
      <c r="H10" s="22">
        <f>+'Коэф.масшт.'!D8</f>
        <v>1.0746666666666667</v>
      </c>
      <c r="I10" s="109">
        <f>((F10*G10*H10/F10)/(F15*G15*H15/F15))*'Расчет доли '!G7/100</f>
        <v>0.17084994450672755</v>
      </c>
      <c r="J10" s="108">
        <f>'Коэф.масшт.'!C8</f>
        <v>2010</v>
      </c>
      <c r="K10" s="110">
        <f>+G10</f>
        <v>1.3044776119402985</v>
      </c>
      <c r="L10" s="22">
        <f>+'Коэф.масшт.'!D8</f>
        <v>1.0746666666666667</v>
      </c>
      <c r="M10" s="109">
        <f>(J10*K10*L10/J10)/(J15*K15*L15/J15)*'Расчет доли '!G6/100</f>
        <v>0.7165743545496528</v>
      </c>
      <c r="N10" s="108">
        <f>'Коэф.масшт.'!C8</f>
        <v>2010</v>
      </c>
      <c r="O10" s="110">
        <f>+G10</f>
        <v>1.3044776119402985</v>
      </c>
      <c r="P10" s="22">
        <f>'Коэф.масшт.'!D8</f>
        <v>1.0746666666666667</v>
      </c>
      <c r="Q10" s="109">
        <f>(O10*P10)/(O15*P15)*'Расчет доли '!G8/100</f>
        <v>0.465085692137744</v>
      </c>
      <c r="R10" s="109">
        <f>+E10+I10+M10+Q10</f>
        <v>1.5594575152897405</v>
      </c>
    </row>
    <row r="11" spans="1:18" ht="27.75" customHeight="1">
      <c r="A11" s="20">
        <v>5</v>
      </c>
      <c r="B11" s="8" t="s">
        <v>11</v>
      </c>
      <c r="C11" s="108">
        <f>+'Коэф.масшт.'!C9</f>
        <v>1417</v>
      </c>
      <c r="D11" s="22">
        <f>+'Коэф.масшт.'!D9</f>
        <v>1.2733098094565982</v>
      </c>
      <c r="E11" s="109">
        <f>((C11*D11/C11)/(C15*D15/C15))*'Расчет доли '!G5/100</f>
        <v>0.24520004262441428</v>
      </c>
      <c r="F11" s="108">
        <f>'Коэф.масшт.'!C9</f>
        <v>1417</v>
      </c>
      <c r="G11" s="110">
        <f>'Коэф.дисп'!D34</f>
        <v>1.452364149611856</v>
      </c>
      <c r="H11" s="22">
        <f>+'Коэф.масшт.'!D9</f>
        <v>1.2733098094565982</v>
      </c>
      <c r="I11" s="109">
        <f>((F11*G11*H11/F11)/(F15*G15*H15/F15))*'Расчет доли '!G7/100</f>
        <v>0.22537930678122028</v>
      </c>
      <c r="J11" s="108">
        <f>'Коэф.масшт.'!C9</f>
        <v>1417</v>
      </c>
      <c r="K11" s="110">
        <f>+G11</f>
        <v>1.452364149611856</v>
      </c>
      <c r="L11" s="22">
        <f>+'Коэф.масшт.'!D9</f>
        <v>1.2733098094565982</v>
      </c>
      <c r="M11" s="109">
        <f>(J11*K11*L11/J11)/(J15*K15*L15/J15)*'Расчет доли '!G6/100</f>
        <v>0.9452799750791939</v>
      </c>
      <c r="N11" s="108">
        <f>'Коэф.масшт.'!C9</f>
        <v>1417</v>
      </c>
      <c r="O11" s="110">
        <f>+G11</f>
        <v>1.452364149611856</v>
      </c>
      <c r="P11" s="22">
        <f>'Коэф.масшт.'!D9</f>
        <v>1.2733098094565982</v>
      </c>
      <c r="Q11" s="109">
        <f>(O11*P11)/(O15*P15)*'Расчет доли '!G8/100</f>
        <v>0.613524875237763</v>
      </c>
      <c r="R11" s="109">
        <f>+E11+I11+M11+Q11</f>
        <v>2.0293841997225917</v>
      </c>
    </row>
    <row r="12" spans="1:18" ht="12.75">
      <c r="A12" s="20">
        <v>6</v>
      </c>
      <c r="B12" s="8"/>
      <c r="C12" s="108"/>
      <c r="D12" s="22"/>
      <c r="E12" s="109"/>
      <c r="F12" s="108"/>
      <c r="G12" s="110"/>
      <c r="H12" s="22"/>
      <c r="I12" s="109"/>
      <c r="J12" s="108"/>
      <c r="K12" s="110"/>
      <c r="L12" s="22"/>
      <c r="M12" s="109"/>
      <c r="N12" s="108"/>
      <c r="O12" s="110"/>
      <c r="P12" s="22"/>
      <c r="Q12" s="109"/>
      <c r="R12" s="109"/>
    </row>
    <row r="13" spans="1:18" ht="12.75">
      <c r="A13" s="20">
        <v>7</v>
      </c>
      <c r="B13" s="8"/>
      <c r="C13" s="108"/>
      <c r="D13" s="22"/>
      <c r="E13" s="109"/>
      <c r="F13" s="108"/>
      <c r="G13" s="110"/>
      <c r="H13" s="22"/>
      <c r="I13" s="109"/>
      <c r="J13" s="108"/>
      <c r="K13" s="110"/>
      <c r="L13" s="22"/>
      <c r="M13" s="109"/>
      <c r="N13" s="108"/>
      <c r="O13" s="110"/>
      <c r="P13" s="22"/>
      <c r="Q13" s="109"/>
      <c r="R13" s="109"/>
    </row>
    <row r="14" spans="1:18" ht="12.75">
      <c r="A14" s="20">
        <v>8</v>
      </c>
      <c r="B14" s="8"/>
      <c r="C14" s="108"/>
      <c r="D14" s="22"/>
      <c r="E14" s="109"/>
      <c r="F14" s="108"/>
      <c r="G14" s="110"/>
      <c r="H14" s="22"/>
      <c r="I14" s="109"/>
      <c r="J14" s="108"/>
      <c r="K14" s="110"/>
      <c r="L14" s="22"/>
      <c r="M14" s="109"/>
      <c r="N14" s="108"/>
      <c r="O14" s="110"/>
      <c r="P14" s="22"/>
      <c r="Q14" s="109"/>
      <c r="R14" s="109"/>
    </row>
    <row r="15" spans="1:20" s="94" customFormat="1" ht="19.5" customHeight="1">
      <c r="A15" s="26"/>
      <c r="B15" s="23" t="s">
        <v>112</v>
      </c>
      <c r="C15" s="111">
        <f>SUM(C7:C14)</f>
        <v>11926</v>
      </c>
      <c r="D15" s="112">
        <f>+'Коэф.масшт.'!D13</f>
        <v>0.6799999999999999</v>
      </c>
      <c r="E15" s="109">
        <f>((C15*D15/C15)/(C15*D15/C15))*'Расчет доли '!G5/100</f>
        <v>0.13094694452700284</v>
      </c>
      <c r="F15" s="113">
        <f>SUM(F7:F14)</f>
        <v>11926</v>
      </c>
      <c r="G15" s="110">
        <f>'Коэф.дисп'!D39</f>
        <v>1.3246687908770753</v>
      </c>
      <c r="H15" s="112">
        <f>+'Коэф.масшт.'!D13</f>
        <v>0.6799999999999999</v>
      </c>
      <c r="I15" s="109">
        <f>((F15*G15*H15/F15)/(F15*G15*H15/F15))*'Расчет доли '!G7/100</f>
        <v>0.10977934896427152</v>
      </c>
      <c r="J15" s="113">
        <f>SUM(J7:J14)</f>
        <v>11926</v>
      </c>
      <c r="K15" s="114">
        <f>+G15</f>
        <v>1.3246687908770753</v>
      </c>
      <c r="L15" s="22">
        <f>+'Коэф.масшт.'!D13</f>
        <v>0.6799999999999999</v>
      </c>
      <c r="M15" s="109">
        <f>(J15*K15*L15/J15)/(J15*K15*L15/J15)*'Расчет доли '!G6/100</f>
        <v>0.4604336650741866</v>
      </c>
      <c r="N15" s="113">
        <f>SUM(N7:N14)</f>
        <v>11926</v>
      </c>
      <c r="O15" s="114">
        <f>+G15</f>
        <v>1.3246687908770753</v>
      </c>
      <c r="P15" s="112">
        <f>'Коэф.масшт.'!D13</f>
        <v>0.6799999999999999</v>
      </c>
      <c r="Q15" s="109">
        <f>(O15*P15)/(O15*P15)*'Расчет доли '!G8/100</f>
        <v>0.298840041434539</v>
      </c>
      <c r="R15" s="109">
        <v>0.86</v>
      </c>
      <c r="T15" s="115"/>
    </row>
  </sheetData>
  <sheetProtection selectLockedCells="1" selectUnlockedCells="1"/>
  <mergeCells count="8">
    <mergeCell ref="A2:R2"/>
    <mergeCell ref="A4:A5"/>
    <mergeCell ref="B4:B5"/>
    <mergeCell ref="C4:E4"/>
    <mergeCell ref="F4:I4"/>
    <mergeCell ref="J4:M4"/>
    <mergeCell ref="N4:Q4"/>
    <mergeCell ref="R4:R5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60" r:id="rId1"/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1" width="33.875" style="116" customWidth="1"/>
    <col min="2" max="2" width="12.875" style="116" customWidth="1"/>
    <col min="3" max="3" width="12.875" style="117" customWidth="1"/>
    <col min="4" max="4" width="12.875" style="118" customWidth="1"/>
    <col min="5" max="5" width="12.875" style="116" customWidth="1"/>
    <col min="6" max="6" width="12.875" style="117" customWidth="1"/>
    <col min="7" max="7" width="12.875" style="118" customWidth="1"/>
    <col min="8" max="10" width="12.875" style="116" customWidth="1"/>
    <col min="11" max="11" width="9.00390625" style="116" hidden="1" customWidth="1"/>
    <col min="12" max="12" width="9.125" style="116" customWidth="1"/>
  </cols>
  <sheetData>
    <row r="1" ht="18" customHeight="1">
      <c r="I1" s="116" t="s">
        <v>113</v>
      </c>
    </row>
    <row r="2" spans="1:12" ht="60" customHeight="1">
      <c r="A2" s="266" t="s">
        <v>199</v>
      </c>
      <c r="B2" s="266"/>
      <c r="C2" s="266"/>
      <c r="D2" s="266"/>
      <c r="E2" s="266"/>
      <c r="F2" s="266"/>
      <c r="G2" s="266"/>
      <c r="H2" s="266"/>
      <c r="I2" s="266"/>
      <c r="J2" s="266"/>
      <c r="K2" s="119"/>
      <c r="L2" s="119"/>
    </row>
    <row r="3" spans="2:13" ht="32.25" customHeight="1">
      <c r="B3" s="267" t="s">
        <v>114</v>
      </c>
      <c r="C3" s="267"/>
      <c r="D3" s="267"/>
      <c r="E3" s="267" t="s">
        <v>115</v>
      </c>
      <c r="F3" s="267"/>
      <c r="G3" s="267"/>
      <c r="H3" s="267" t="s">
        <v>116</v>
      </c>
      <c r="I3" s="267"/>
      <c r="J3" s="267"/>
      <c r="K3" s="120"/>
      <c r="L3" s="120"/>
      <c r="M3" s="121"/>
    </row>
    <row r="4" spans="1:12" ht="121.5" customHeight="1">
      <c r="A4" s="122" t="s">
        <v>2</v>
      </c>
      <c r="B4" s="123" t="s">
        <v>117</v>
      </c>
      <c r="C4" s="124" t="s">
        <v>118</v>
      </c>
      <c r="D4" s="125" t="s">
        <v>206</v>
      </c>
      <c r="E4" s="123" t="s">
        <v>117</v>
      </c>
      <c r="F4" s="124" t="s">
        <v>118</v>
      </c>
      <c r="G4" s="125" t="s">
        <v>119</v>
      </c>
      <c r="H4" s="97" t="s">
        <v>117</v>
      </c>
      <c r="I4" s="126" t="s">
        <v>118</v>
      </c>
      <c r="J4" s="127" t="s">
        <v>206</v>
      </c>
      <c r="K4" s="128" t="s">
        <v>83</v>
      </c>
      <c r="L4" s="129"/>
    </row>
    <row r="5" spans="1:12" ht="12.75">
      <c r="A5" s="106">
        <v>1</v>
      </c>
      <c r="B5" s="106">
        <v>2</v>
      </c>
      <c r="C5" s="130">
        <v>3</v>
      </c>
      <c r="D5" s="131">
        <v>4</v>
      </c>
      <c r="E5" s="106"/>
      <c r="F5" s="130"/>
      <c r="G5" s="131"/>
      <c r="H5" s="36"/>
      <c r="I5" s="36"/>
      <c r="J5" s="36"/>
      <c r="K5" s="132"/>
      <c r="L5" s="132"/>
    </row>
    <row r="6" spans="1:13" ht="16.5" customHeight="1">
      <c r="A6" s="8" t="s">
        <v>7</v>
      </c>
      <c r="B6" s="133">
        <f>ИДП!D5</f>
        <v>1.1562612977056475</v>
      </c>
      <c r="C6" s="133">
        <f>+ИБР!R7</f>
        <v>1.1138294433123217</v>
      </c>
      <c r="D6" s="134">
        <f>B6/C6</f>
        <v>1.0380954684292967</v>
      </c>
      <c r="E6" s="133">
        <f>ИДП!G5</f>
        <v>1.120646118631201</v>
      </c>
      <c r="F6" s="133">
        <f>ИБР!R7</f>
        <v>1.1138294433123217</v>
      </c>
      <c r="G6" s="134">
        <f>E6/F6</f>
        <v>1.006120035127288</v>
      </c>
      <c r="H6" s="133">
        <f>ИДП!J5</f>
        <v>1.025563196127618</v>
      </c>
      <c r="I6" s="133">
        <f>ИБР!R7</f>
        <v>1.1138294433123217</v>
      </c>
      <c r="J6" s="134">
        <f>H6/I6</f>
        <v>0.920754252175076</v>
      </c>
      <c r="K6" s="135">
        <v>1.228</v>
      </c>
      <c r="L6" s="136"/>
      <c r="M6" s="137"/>
    </row>
    <row r="7" spans="1:13" ht="17.25" customHeight="1">
      <c r="A7" s="8" t="s">
        <v>8</v>
      </c>
      <c r="B7" s="133">
        <f>ИДП!D6</f>
        <v>0.5804924330890774</v>
      </c>
      <c r="C7" s="133">
        <f>+ИБР!R8</f>
        <v>1.1947569479692852</v>
      </c>
      <c r="D7" s="134">
        <f>B7/C7</f>
        <v>0.4858665472301574</v>
      </c>
      <c r="E7" s="133">
        <f>ИДП!G6</f>
        <v>0.5988981628756564</v>
      </c>
      <c r="F7" s="133">
        <f>ИБР!R8</f>
        <v>1.1947569479692852</v>
      </c>
      <c r="G7" s="134">
        <f>E7/F7</f>
        <v>0.5012719648909318</v>
      </c>
      <c r="H7" s="133">
        <f>ИДП!J6</f>
        <v>0.6474998226895194</v>
      </c>
      <c r="I7" s="133">
        <f>ИБР!R8</f>
        <v>1.1947569479692852</v>
      </c>
      <c r="J7" s="134">
        <f>H7/I7</f>
        <v>0.5419510836828089</v>
      </c>
      <c r="K7" s="135">
        <v>0.336</v>
      </c>
      <c r="L7" s="136"/>
      <c r="M7" s="137"/>
    </row>
    <row r="8" spans="1:13" ht="15.75" customHeight="1">
      <c r="A8" s="8" t="s">
        <v>9</v>
      </c>
      <c r="B8" s="133">
        <f>ИДП!D7</f>
        <v>1.42646472430755</v>
      </c>
      <c r="C8" s="133">
        <f>+ИБР!R9</f>
        <v>2.690139010687225</v>
      </c>
      <c r="D8" s="134">
        <f>B8/C8</f>
        <v>0.5302568821315833</v>
      </c>
      <c r="E8" s="133">
        <f>ИДП!G7</f>
        <v>1.4576616162461946</v>
      </c>
      <c r="F8" s="133">
        <f>ИБР!R9</f>
        <v>2.690139010687225</v>
      </c>
      <c r="G8" s="134">
        <f>E8/F8</f>
        <v>0.5418536404458218</v>
      </c>
      <c r="H8" s="133">
        <f>ИДП!J7</f>
        <v>1.53983765128277</v>
      </c>
      <c r="I8" s="133">
        <f>ИБР!R9</f>
        <v>2.690139010687225</v>
      </c>
      <c r="J8" s="134">
        <f>H8/I8</f>
        <v>0.5724007737761484</v>
      </c>
      <c r="K8" s="135">
        <v>0.214</v>
      </c>
      <c r="L8" s="136"/>
      <c r="M8" s="137"/>
    </row>
    <row r="9" spans="1:13" ht="17.25" customHeight="1">
      <c r="A9" s="8" t="s">
        <v>10</v>
      </c>
      <c r="B9" s="133">
        <f>ИДП!D8</f>
        <v>1.052992523238928</v>
      </c>
      <c r="C9" s="133">
        <f>+ИБР!R10</f>
        <v>1.5594575152897405</v>
      </c>
      <c r="D9" s="134">
        <f>B9/C9</f>
        <v>0.6752300161529482</v>
      </c>
      <c r="E9" s="133">
        <f>ИДП!G8</f>
        <v>1.0507491224785774</v>
      </c>
      <c r="F9" s="133">
        <f>ИБР!R10</f>
        <v>1.5594575152897405</v>
      </c>
      <c r="G9" s="134">
        <f>E9/F9</f>
        <v>0.67379143848196</v>
      </c>
      <c r="H9" s="133">
        <f>ИДП!J8</f>
        <v>1.0470163396822214</v>
      </c>
      <c r="I9" s="133">
        <f>ИБР!R10</f>
        <v>1.5594575152897405</v>
      </c>
      <c r="J9" s="134">
        <f>H9/I9</f>
        <v>0.6713977966162741</v>
      </c>
      <c r="K9" s="135">
        <v>0.341</v>
      </c>
      <c r="L9" s="136"/>
      <c r="M9" s="137"/>
    </row>
    <row r="10" spans="1:13" ht="18" customHeight="1">
      <c r="A10" s="8" t="s">
        <v>11</v>
      </c>
      <c r="B10" s="133">
        <f>ИДП!D9</f>
        <v>0.8507928998437921</v>
      </c>
      <c r="C10" s="133">
        <f>+ИБР!R11</f>
        <v>2.0293841997225917</v>
      </c>
      <c r="D10" s="134">
        <f>B10/C10</f>
        <v>0.41923697837013413</v>
      </c>
      <c r="E10" s="133">
        <f>ИДП!G9</f>
        <v>0.893657933533101</v>
      </c>
      <c r="F10" s="133">
        <f>ИБР!R11</f>
        <v>2.0293841997225917</v>
      </c>
      <c r="G10" s="134">
        <f>E10/F10</f>
        <v>0.4403591659259298</v>
      </c>
      <c r="H10" s="133">
        <f>ИДП!J9</f>
        <v>1.0070744429730998</v>
      </c>
      <c r="I10" s="133">
        <f>ИБР!R11</f>
        <v>2.0293841997225917</v>
      </c>
      <c r="J10" s="134">
        <f>H10/I10</f>
        <v>0.4962463209828689</v>
      </c>
      <c r="K10" s="135">
        <v>0.267</v>
      </c>
      <c r="L10" s="136"/>
      <c r="M10" s="137"/>
    </row>
    <row r="11" spans="1:13" ht="18.75" customHeight="1">
      <c r="A11" s="8"/>
      <c r="B11" s="133"/>
      <c r="C11" s="133"/>
      <c r="D11" s="134"/>
      <c r="E11" s="133"/>
      <c r="F11" s="133"/>
      <c r="G11" s="134"/>
      <c r="H11" s="133"/>
      <c r="I11" s="133"/>
      <c r="J11" s="134"/>
      <c r="K11" s="135">
        <v>0.347</v>
      </c>
      <c r="L11" s="136"/>
      <c r="M11" s="137"/>
    </row>
    <row r="12" spans="1:13" ht="18" customHeight="1" hidden="1">
      <c r="A12" s="8"/>
      <c r="B12" s="133"/>
      <c r="C12" s="133"/>
      <c r="D12" s="134"/>
      <c r="E12" s="133"/>
      <c r="F12" s="133"/>
      <c r="G12" s="134"/>
      <c r="H12" s="133"/>
      <c r="I12" s="133"/>
      <c r="J12" s="134"/>
      <c r="K12" s="135">
        <v>0.285</v>
      </c>
      <c r="L12" s="136"/>
      <c r="M12" s="137"/>
    </row>
    <row r="13" spans="1:13" ht="28.5" customHeight="1" hidden="1">
      <c r="A13" s="8"/>
      <c r="B13" s="133"/>
      <c r="C13" s="133"/>
      <c r="D13" s="134"/>
      <c r="E13" s="133"/>
      <c r="F13" s="133"/>
      <c r="G13" s="134"/>
      <c r="H13" s="133"/>
      <c r="I13" s="133"/>
      <c r="J13" s="134"/>
      <c r="K13" s="135">
        <v>0.281</v>
      </c>
      <c r="L13" s="136"/>
      <c r="M13" s="137"/>
    </row>
    <row r="14" spans="1:12" ht="18.75" customHeight="1">
      <c r="A14" s="138" t="s">
        <v>112</v>
      </c>
      <c r="B14" s="134"/>
      <c r="C14" s="133"/>
      <c r="D14" s="134"/>
      <c r="E14" s="133"/>
      <c r="F14" s="133"/>
      <c r="G14" s="134"/>
      <c r="H14" s="133"/>
      <c r="I14" s="133"/>
      <c r="J14" s="133"/>
      <c r="K14" s="139"/>
      <c r="L14" s="140"/>
    </row>
    <row r="15" spans="1:12" ht="24" customHeight="1">
      <c r="A15" s="141" t="s">
        <v>120</v>
      </c>
      <c r="B15" s="142"/>
      <c r="C15" s="142"/>
      <c r="D15" s="143">
        <f>(D6+D9+D7+D8)/4</f>
        <v>0.6823622284859964</v>
      </c>
      <c r="E15" s="142"/>
      <c r="F15" s="142"/>
      <c r="G15" s="143">
        <f>(G6+G10+G7)/3</f>
        <v>0.64925038864805</v>
      </c>
      <c r="H15" s="142"/>
      <c r="I15" s="142"/>
      <c r="J15" s="143"/>
      <c r="K15" s="118"/>
      <c r="L15" s="118"/>
    </row>
    <row r="16" spans="1:5" ht="18.75" customHeight="1">
      <c r="A16" s="268"/>
      <c r="B16" s="268"/>
      <c r="C16" s="268"/>
      <c r="D16" s="142">
        <f>+(D6+D10+D7)/3</f>
        <v>0.6477329980098627</v>
      </c>
      <c r="E16" s="144"/>
    </row>
  </sheetData>
  <sheetProtection selectLockedCells="1" selectUnlockedCells="1"/>
  <mergeCells count="5">
    <mergeCell ref="A2:J2"/>
    <mergeCell ref="B3:D3"/>
    <mergeCell ref="E3:G3"/>
    <mergeCell ref="H3:J3"/>
    <mergeCell ref="A16:C16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26" sqref="K26"/>
    </sheetView>
  </sheetViews>
  <sheetFormatPr defaultColWidth="9.00390625" defaultRowHeight="12.75"/>
  <cols>
    <col min="1" max="1" width="4.625" style="1" customWidth="1"/>
    <col min="2" max="2" width="21.875" style="1" customWidth="1"/>
    <col min="3" max="3" width="10.25390625" style="1" customWidth="1"/>
    <col min="4" max="4" width="9.875" style="1" customWidth="1"/>
    <col min="5" max="5" width="12.125" style="1" customWidth="1"/>
    <col min="6" max="6" width="10.375" style="1" customWidth="1"/>
    <col min="7" max="7" width="9.125" style="1" customWidth="1"/>
    <col min="8" max="8" width="11.75390625" style="1" customWidth="1"/>
    <col min="9" max="9" width="10.25390625" style="1" customWidth="1"/>
    <col min="10" max="13" width="9.125" style="1" customWidth="1"/>
    <col min="14" max="14" width="10.75390625" style="1" customWidth="1"/>
    <col min="15" max="16384" width="9.125" style="1" customWidth="1"/>
  </cols>
  <sheetData>
    <row r="1" ht="12.75">
      <c r="L1" s="1" t="s">
        <v>121</v>
      </c>
    </row>
    <row r="2" spans="1:14" ht="12.75" customHeight="1">
      <c r="A2" s="269" t="s">
        <v>200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</row>
    <row r="3" spans="1:14" ht="33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</row>
    <row r="5" spans="1:14" ht="25.5" customHeight="1">
      <c r="A5" s="270" t="s">
        <v>1</v>
      </c>
      <c r="B5" s="270" t="s">
        <v>2</v>
      </c>
      <c r="C5" s="271" t="s">
        <v>122</v>
      </c>
      <c r="D5" s="271"/>
      <c r="E5" s="271"/>
      <c r="F5" s="271" t="s">
        <v>123</v>
      </c>
      <c r="G5" s="271"/>
      <c r="H5" s="271"/>
      <c r="I5" s="271"/>
      <c r="J5" s="271" t="s">
        <v>124</v>
      </c>
      <c r="K5" s="271"/>
      <c r="L5" s="271"/>
      <c r="M5" s="271"/>
      <c r="N5" s="271"/>
    </row>
    <row r="6" spans="1:15" ht="63.75">
      <c r="A6" s="270"/>
      <c r="B6" s="270"/>
      <c r="C6" s="146" t="s">
        <v>125</v>
      </c>
      <c r="D6" s="16" t="s">
        <v>126</v>
      </c>
      <c r="E6" s="17" t="s">
        <v>127</v>
      </c>
      <c r="F6" s="146" t="s">
        <v>125</v>
      </c>
      <c r="G6" s="145" t="s">
        <v>126</v>
      </c>
      <c r="H6" s="16" t="s">
        <v>128</v>
      </c>
      <c r="I6" s="17" t="s">
        <v>127</v>
      </c>
      <c r="J6" s="146" t="s">
        <v>125</v>
      </c>
      <c r="K6" s="16" t="s">
        <v>126</v>
      </c>
      <c r="L6" s="145" t="s">
        <v>128</v>
      </c>
      <c r="M6" s="145" t="s">
        <v>129</v>
      </c>
      <c r="N6" s="17" t="s">
        <v>127</v>
      </c>
      <c r="O6" s="147"/>
    </row>
    <row r="7" spans="1:14" s="151" customFormat="1" ht="12.75">
      <c r="A7" s="148">
        <v>1</v>
      </c>
      <c r="B7" s="148">
        <v>2</v>
      </c>
      <c r="C7" s="149">
        <v>3</v>
      </c>
      <c r="D7" s="150"/>
      <c r="E7" s="150"/>
      <c r="F7" s="149">
        <v>3</v>
      </c>
      <c r="G7" s="148"/>
      <c r="H7" s="150"/>
      <c r="I7" s="150"/>
      <c r="J7" s="149">
        <v>3</v>
      </c>
      <c r="K7" s="150"/>
      <c r="L7" s="148"/>
      <c r="M7" s="148"/>
      <c r="N7" s="150"/>
    </row>
    <row r="8" spans="1:14" ht="25.5">
      <c r="A8" s="7">
        <v>1</v>
      </c>
      <c r="B8" s="8" t="s">
        <v>7</v>
      </c>
      <c r="C8" s="152">
        <f>'Налоговый потен'!L7</f>
        <v>10557.427064920195</v>
      </c>
      <c r="D8" s="152">
        <f>'субв от числ уточ'!D6</f>
        <v>2088.446471993963</v>
      </c>
      <c r="E8" s="152">
        <f>+C8+D8</f>
        <v>12645.873536914158</v>
      </c>
      <c r="F8" s="152">
        <f>+C8</f>
        <v>10557.427064920195</v>
      </c>
      <c r="G8" s="153">
        <f>D8</f>
        <v>2088.446471993963</v>
      </c>
      <c r="H8" s="152">
        <f>'Дотац 4000'!J6</f>
        <v>-363.35048233928825</v>
      </c>
      <c r="I8" s="152">
        <f>F8+G8+H8</f>
        <v>12282.52305457487</v>
      </c>
      <c r="J8" s="152">
        <f>'Налоговый потен'!L7</f>
        <v>10557.427064920195</v>
      </c>
      <c r="K8" s="152">
        <f>'субв от числ уточ'!D6</f>
        <v>2088.446471993963</v>
      </c>
      <c r="L8" s="153">
        <f>'Дотац 4000'!J6</f>
        <v>-363.35048233928825</v>
      </c>
      <c r="M8" s="153">
        <f>'Дотац 4000'!N6</f>
        <v>-13.52338842080981</v>
      </c>
      <c r="N8" s="152">
        <f>J8+L8+K8+M8</f>
        <v>12268.999666154059</v>
      </c>
    </row>
    <row r="9" spans="1:14" ht="25.5">
      <c r="A9" s="7">
        <v>2</v>
      </c>
      <c r="B9" s="8" t="s">
        <v>8</v>
      </c>
      <c r="C9" s="152">
        <f>'Налоговый потен'!L8</f>
        <v>2785.4027293539766</v>
      </c>
      <c r="D9" s="152">
        <f>'субв от числ уточ'!D7</f>
        <v>1365.4287460171054</v>
      </c>
      <c r="E9" s="152">
        <f>+C9+D9</f>
        <v>4150.831475371082</v>
      </c>
      <c r="F9" s="152">
        <f>C9</f>
        <v>2785.4027293539766</v>
      </c>
      <c r="G9" s="153">
        <f>D9</f>
        <v>1365.4287460171054</v>
      </c>
      <c r="H9" s="152">
        <f>'Дотац 4000'!J7</f>
        <v>140.7540392371911</v>
      </c>
      <c r="I9" s="152">
        <f>F9+G9+H9</f>
        <v>4291.585514608273</v>
      </c>
      <c r="J9" s="152">
        <f>'Налоговый потен'!L8</f>
        <v>2785.4027293539766</v>
      </c>
      <c r="K9" s="152">
        <f>'субв от числ уточ'!D7</f>
        <v>1365.4287460171054</v>
      </c>
      <c r="L9" s="153">
        <f>'Дотац 4000'!J7</f>
        <v>140.7540392371911</v>
      </c>
      <c r="M9" s="153">
        <f>'Дотац 4000'!N7</f>
        <v>772.8619976703081</v>
      </c>
      <c r="N9" s="152">
        <f>J9+L9+K9+M9</f>
        <v>5064.447512278582</v>
      </c>
    </row>
    <row r="10" spans="1:14" ht="25.5">
      <c r="A10" s="7">
        <v>3</v>
      </c>
      <c r="B10" s="8" t="s">
        <v>9</v>
      </c>
      <c r="C10" s="152">
        <f>'Налоговый потен'!L9</f>
        <v>4516.8451808101945</v>
      </c>
      <c r="D10" s="152">
        <f>'субв от числ уточ'!D8</f>
        <v>698.1029259600872</v>
      </c>
      <c r="E10" s="152">
        <f>+C10+D10</f>
        <v>5214.948106770282</v>
      </c>
      <c r="F10" s="152">
        <f>C10</f>
        <v>4516.8451808101945</v>
      </c>
      <c r="G10" s="153">
        <f>D10</f>
        <v>698.1029259600872</v>
      </c>
      <c r="H10" s="152">
        <f>'Дотац 4000'!J8</f>
        <v>125.42898581296427</v>
      </c>
      <c r="I10" s="152">
        <f>F10+G10+H10</f>
        <v>5340.377092583246</v>
      </c>
      <c r="J10" s="152">
        <f>'Налоговый потен'!L9</f>
        <v>4516.8451808101945</v>
      </c>
      <c r="K10" s="152">
        <f>'субв от числ уточ'!D8</f>
        <v>698.1029259600872</v>
      </c>
      <c r="L10" s="153">
        <f>'Дотац 4000'!J8</f>
        <v>125.42898581296427</v>
      </c>
      <c r="M10" s="153">
        <f>'Дотац 4000'!N8</f>
        <v>817.3122068943114</v>
      </c>
      <c r="N10" s="152">
        <f>J10+L10+K10+M10</f>
        <v>6157.689299477557</v>
      </c>
    </row>
    <row r="11" spans="1:14" ht="25.5">
      <c r="A11" s="7">
        <v>4</v>
      </c>
      <c r="B11" s="8" t="s">
        <v>10</v>
      </c>
      <c r="C11" s="152">
        <f>'Налоговый потен'!L10</f>
        <v>4432.809538335237</v>
      </c>
      <c r="D11" s="152">
        <f>'субв от числ уточ'!D9</f>
        <v>981.9362359550561</v>
      </c>
      <c r="E11" s="152">
        <f>+C11+D11</f>
        <v>5414.745774290293</v>
      </c>
      <c r="F11" s="152">
        <f>C11</f>
        <v>4432.809538335237</v>
      </c>
      <c r="G11" s="153">
        <f>D11</f>
        <v>981.9362359550561</v>
      </c>
      <c r="H11" s="152">
        <f>'Дотац 4000'!J9</f>
        <v>0</v>
      </c>
      <c r="I11" s="152">
        <f>F11+G11+H11</f>
        <v>5414.745774290293</v>
      </c>
      <c r="J11" s="152">
        <f>'Налоговый потен'!L10</f>
        <v>4432.809538335237</v>
      </c>
      <c r="K11" s="152">
        <f>'субв от числ уточ'!D9</f>
        <v>981.9362359550561</v>
      </c>
      <c r="L11" s="153">
        <f>'Дотац 4000'!J9</f>
        <v>0</v>
      </c>
      <c r="M11" s="153">
        <f>'Дотац 4000'!N9</f>
        <v>474.50605030954245</v>
      </c>
      <c r="N11" s="152">
        <f>J11+L11+K11+M11</f>
        <v>5889.251824599836</v>
      </c>
    </row>
    <row r="12" spans="1:14" ht="24.75" customHeight="1">
      <c r="A12" s="7">
        <v>5</v>
      </c>
      <c r="B12" s="8" t="s">
        <v>11</v>
      </c>
      <c r="C12" s="152">
        <f>'Налоговый потен'!L11</f>
        <v>2392.015486580396</v>
      </c>
      <c r="D12" s="152">
        <f>'субв от числ уточ'!D10</f>
        <v>692.2406200737884</v>
      </c>
      <c r="E12" s="152">
        <f>+C12+D12</f>
        <v>3084.2561066541844</v>
      </c>
      <c r="F12" s="152">
        <f>C12</f>
        <v>2392.015486580396</v>
      </c>
      <c r="G12" s="152">
        <f>D12</f>
        <v>692.2406200737884</v>
      </c>
      <c r="H12" s="152">
        <f>'Дотац 4000'!J10</f>
        <v>162.3091977498097</v>
      </c>
      <c r="I12" s="152">
        <f>F12+G12+H12</f>
        <v>3246.565304403994</v>
      </c>
      <c r="J12" s="152">
        <f>'Налоговый потен'!L11</f>
        <v>2392.015486580396</v>
      </c>
      <c r="K12" s="152">
        <f>'субв от числ уточ'!D10</f>
        <v>692.2406200737884</v>
      </c>
      <c r="L12" s="153">
        <f>'Дотац 4000'!J10</f>
        <v>162.3091977498097</v>
      </c>
      <c r="M12" s="153">
        <f>'Дотац 4000'!N10</f>
        <v>746.8275223258731</v>
      </c>
      <c r="N12" s="152">
        <f>J12+L12+K12+M12</f>
        <v>3993.392826729867</v>
      </c>
    </row>
    <row r="13" spans="1:14" ht="12.75" hidden="1">
      <c r="A13" s="7"/>
      <c r="B13" s="16"/>
      <c r="C13" s="152"/>
      <c r="D13" s="152"/>
      <c r="E13" s="152"/>
      <c r="F13" s="152"/>
      <c r="G13" s="153"/>
      <c r="H13" s="152"/>
      <c r="I13" s="152"/>
      <c r="J13" s="152"/>
      <c r="K13" s="152"/>
      <c r="L13" s="153"/>
      <c r="M13" s="153"/>
      <c r="N13" s="152"/>
    </row>
    <row r="14" spans="1:14" ht="12.75" hidden="1">
      <c r="A14" s="7"/>
      <c r="B14" s="16"/>
      <c r="C14" s="152"/>
      <c r="D14" s="152"/>
      <c r="E14" s="152"/>
      <c r="F14" s="152"/>
      <c r="G14" s="153"/>
      <c r="H14" s="152"/>
      <c r="I14" s="152"/>
      <c r="J14" s="152"/>
      <c r="K14" s="152"/>
      <c r="L14" s="153"/>
      <c r="M14" s="153"/>
      <c r="N14" s="152"/>
    </row>
    <row r="15" spans="1:14" ht="12.75">
      <c r="A15" s="7"/>
      <c r="B15" s="16"/>
      <c r="C15" s="152"/>
      <c r="D15" s="152"/>
      <c r="E15" s="152"/>
      <c r="F15" s="152"/>
      <c r="G15" s="153"/>
      <c r="H15" s="152"/>
      <c r="I15" s="152"/>
      <c r="J15" s="152"/>
      <c r="K15" s="152"/>
      <c r="L15" s="153"/>
      <c r="M15" s="153"/>
      <c r="N15" s="152"/>
    </row>
    <row r="16" spans="1:14" ht="12.75">
      <c r="A16" s="7"/>
      <c r="B16" s="17" t="s">
        <v>12</v>
      </c>
      <c r="C16" s="154">
        <f aca="true" t="shared" si="0" ref="C16:N16">SUM(C8:C15)</f>
        <v>24684.5</v>
      </c>
      <c r="D16" s="154">
        <f t="shared" si="0"/>
        <v>5826.155</v>
      </c>
      <c r="E16" s="154">
        <f t="shared" si="0"/>
        <v>30510.654999999995</v>
      </c>
      <c r="F16" s="154">
        <f t="shared" si="0"/>
        <v>24684.5</v>
      </c>
      <c r="G16" s="154">
        <f t="shared" si="0"/>
        <v>5826.155</v>
      </c>
      <c r="H16" s="154">
        <f t="shared" si="0"/>
        <v>65.14174046067683</v>
      </c>
      <c r="I16" s="154">
        <f t="shared" si="0"/>
        <v>30575.796740460675</v>
      </c>
      <c r="J16" s="154">
        <f t="shared" si="0"/>
        <v>24684.5</v>
      </c>
      <c r="K16" s="154">
        <f t="shared" si="0"/>
        <v>5826.155</v>
      </c>
      <c r="L16" s="154">
        <f t="shared" si="0"/>
        <v>65.14174046067683</v>
      </c>
      <c r="M16" s="154">
        <f t="shared" si="0"/>
        <v>2797.984388779225</v>
      </c>
      <c r="N16" s="154">
        <f t="shared" si="0"/>
        <v>33373.781129239906</v>
      </c>
    </row>
  </sheetData>
  <sheetProtection selectLockedCells="1" selectUnlockedCells="1"/>
  <mergeCells count="6">
    <mergeCell ref="A2:N3"/>
    <mergeCell ref="A5:A6"/>
    <mergeCell ref="B5:B6"/>
    <mergeCell ref="C5:E5"/>
    <mergeCell ref="F5:I5"/>
    <mergeCell ref="J5:N5"/>
  </mergeCells>
  <printOptions/>
  <pageMargins left="0.75" right="0.75" top="1" bottom="1" header="0.5118055555555555" footer="0.5118055555555555"/>
  <pageSetup horizontalDpi="300" verticalDpi="3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L20" sqref="L20"/>
    </sheetView>
  </sheetViews>
  <sheetFormatPr defaultColWidth="9.00390625" defaultRowHeight="12.75"/>
  <cols>
    <col min="1" max="1" width="21.00390625" style="0" customWidth="1"/>
    <col min="2" max="2" width="13.75390625" style="0" customWidth="1"/>
    <col min="3" max="3" width="12.25390625" style="0" customWidth="1"/>
    <col min="4" max="4" width="14.00390625" style="0" customWidth="1"/>
    <col min="5" max="5" width="9.00390625" style="0" customWidth="1"/>
    <col min="6" max="6" width="11.25390625" style="0" customWidth="1"/>
    <col min="7" max="7" width="14.875" style="0" customWidth="1"/>
    <col min="8" max="8" width="11.00390625" style="0" customWidth="1"/>
    <col min="9" max="9" width="10.125" style="0" customWidth="1"/>
    <col min="10" max="10" width="14.875" style="0" customWidth="1"/>
  </cols>
  <sheetData>
    <row r="1" ht="12.75">
      <c r="I1" t="s">
        <v>130</v>
      </c>
    </row>
    <row r="2" spans="1:10" ht="68.25" customHeight="1">
      <c r="A2" s="272" t="s">
        <v>201</v>
      </c>
      <c r="B2" s="272"/>
      <c r="C2" s="272"/>
      <c r="D2" s="272"/>
      <c r="E2" s="272"/>
      <c r="F2" s="272"/>
      <c r="G2" s="272"/>
      <c r="H2" s="272"/>
      <c r="I2" s="272"/>
      <c r="J2" s="272"/>
    </row>
    <row r="3" spans="1:11" ht="39" customHeight="1">
      <c r="A3" s="261" t="s">
        <v>2</v>
      </c>
      <c r="B3" s="265" t="s">
        <v>131</v>
      </c>
      <c r="C3" s="265"/>
      <c r="D3" s="265"/>
      <c r="E3" s="265" t="s">
        <v>132</v>
      </c>
      <c r="F3" s="265"/>
      <c r="G3" s="265"/>
      <c r="H3" s="265" t="s">
        <v>133</v>
      </c>
      <c r="I3" s="265"/>
      <c r="J3" s="265"/>
      <c r="K3" s="121"/>
    </row>
    <row r="4" spans="1:10" ht="76.5" customHeight="1">
      <c r="A4" s="261"/>
      <c r="B4" s="96" t="s">
        <v>109</v>
      </c>
      <c r="C4" s="104" t="s">
        <v>134</v>
      </c>
      <c r="D4" s="281" t="s">
        <v>205</v>
      </c>
      <c r="E4" s="96" t="s">
        <v>109</v>
      </c>
      <c r="F4" s="104" t="s">
        <v>134</v>
      </c>
      <c r="G4" s="281" t="s">
        <v>205</v>
      </c>
      <c r="H4" s="96" t="s">
        <v>109</v>
      </c>
      <c r="I4" s="104" t="s">
        <v>134</v>
      </c>
      <c r="J4" s="281" t="s">
        <v>205</v>
      </c>
    </row>
    <row r="5" spans="1:10" ht="30" customHeight="1">
      <c r="A5" s="8" t="s">
        <v>7</v>
      </c>
      <c r="B5" s="108">
        <v>4275</v>
      </c>
      <c r="C5" s="155">
        <f>+ДП!E8</f>
        <v>12645.873536914158</v>
      </c>
      <c r="D5" s="156">
        <f>(C5/B5)/(C13/B13)</f>
        <v>1.1562612977056475</v>
      </c>
      <c r="E5" s="157">
        <f>B5</f>
        <v>4275</v>
      </c>
      <c r="F5" s="155">
        <f>ДП!I8</f>
        <v>12282.52305457487</v>
      </c>
      <c r="G5" s="156">
        <f>(F5/E5)/(F13/E13)</f>
        <v>1.120646118631201</v>
      </c>
      <c r="H5" s="108">
        <f>'Коэф.масшт.'!C5</f>
        <v>4275</v>
      </c>
      <c r="I5" s="155">
        <f>ДП!N8</f>
        <v>12268.999666154059</v>
      </c>
      <c r="J5" s="156">
        <f>(I5/H5)/(I13/H13)</f>
        <v>1.025563196127618</v>
      </c>
    </row>
    <row r="6" spans="1:10" ht="24" customHeight="1">
      <c r="A6" s="8" t="s">
        <v>8</v>
      </c>
      <c r="B6" s="108">
        <v>2795</v>
      </c>
      <c r="C6" s="155">
        <f>+ДП!E9</f>
        <v>4150.831475371082</v>
      </c>
      <c r="D6" s="156">
        <f>(C6/B6)/(C13/B13)</f>
        <v>0.5804924330890774</v>
      </c>
      <c r="E6" s="157">
        <f>B6</f>
        <v>2795</v>
      </c>
      <c r="F6" s="155">
        <f>ДП!I9</f>
        <v>4291.585514608273</v>
      </c>
      <c r="G6" s="156">
        <f>(F6/E6)/(F13/E13)</f>
        <v>0.5988981628756564</v>
      </c>
      <c r="H6" s="108">
        <f>'Коэф.масшт.'!C6</f>
        <v>2795</v>
      </c>
      <c r="I6" s="155">
        <f>ДП!N9</f>
        <v>5064.447512278582</v>
      </c>
      <c r="J6" s="156">
        <f>(I6/H6)/(I13/H13)</f>
        <v>0.6474998226895194</v>
      </c>
    </row>
    <row r="7" spans="1:10" ht="26.25" customHeight="1">
      <c r="A7" s="8" t="s">
        <v>9</v>
      </c>
      <c r="B7" s="108">
        <v>1429</v>
      </c>
      <c r="C7" s="155">
        <f>+ДП!E10</f>
        <v>5214.948106770282</v>
      </c>
      <c r="D7" s="156">
        <f>(C7/B7)/(C13/B13)</f>
        <v>1.42646472430755</v>
      </c>
      <c r="E7" s="157">
        <f>B7</f>
        <v>1429</v>
      </c>
      <c r="F7" s="155">
        <f>ДП!I10</f>
        <v>5340.377092583246</v>
      </c>
      <c r="G7" s="156">
        <f>(F7/E7)/(F13/E13)</f>
        <v>1.4576616162461946</v>
      </c>
      <c r="H7" s="108">
        <f>'Коэф.масшт.'!C7</f>
        <v>1429</v>
      </c>
      <c r="I7" s="155">
        <f>ДП!N10</f>
        <v>6157.689299477557</v>
      </c>
      <c r="J7" s="156">
        <f>(I7/H7)/(I13/H13)</f>
        <v>1.53983765128277</v>
      </c>
    </row>
    <row r="8" spans="1:10" ht="29.25" customHeight="1">
      <c r="A8" s="8" t="s">
        <v>10</v>
      </c>
      <c r="B8" s="108">
        <v>2010</v>
      </c>
      <c r="C8" s="155">
        <f>+ДП!E11</f>
        <v>5414.745774290293</v>
      </c>
      <c r="D8" s="156">
        <f>(C8/B8)/(C13/B13)</f>
        <v>1.052992523238928</v>
      </c>
      <c r="E8" s="157">
        <f>B8</f>
        <v>2010</v>
      </c>
      <c r="F8" s="155">
        <f>ДП!I11</f>
        <v>5414.745774290293</v>
      </c>
      <c r="G8" s="156">
        <f>(F8/E8)/(F13/E13)</f>
        <v>1.0507491224785774</v>
      </c>
      <c r="H8" s="108">
        <f>'Коэф.масшт.'!C8</f>
        <v>2010</v>
      </c>
      <c r="I8" s="155">
        <f>ДП!N11</f>
        <v>5889.251824599836</v>
      </c>
      <c r="J8" s="156">
        <f>(I8/H8)/(I13/H13)</f>
        <v>1.0470163396822214</v>
      </c>
    </row>
    <row r="9" spans="1:10" ht="25.5" customHeight="1">
      <c r="A9" s="8" t="s">
        <v>11</v>
      </c>
      <c r="B9" s="108">
        <v>1417</v>
      </c>
      <c r="C9" s="155">
        <f>+ДП!E12</f>
        <v>3084.2561066541844</v>
      </c>
      <c r="D9" s="156">
        <f>(C9/B9)/(C13/B13)</f>
        <v>0.8507928998437921</v>
      </c>
      <c r="E9" s="157">
        <f>B9</f>
        <v>1417</v>
      </c>
      <c r="F9" s="155">
        <f>ДП!I12</f>
        <v>3246.565304403994</v>
      </c>
      <c r="G9" s="156">
        <f>(F9/E9)/(F13/E13)</f>
        <v>0.893657933533101</v>
      </c>
      <c r="H9" s="108">
        <f>'Коэф.масшт.'!C9</f>
        <v>1417</v>
      </c>
      <c r="I9" s="155">
        <f>ДП!N12</f>
        <v>3993.392826729867</v>
      </c>
      <c r="J9" s="156">
        <f>(I9/H9)/(I13/H13)</f>
        <v>1.0070744429730998</v>
      </c>
    </row>
    <row r="10" spans="1:10" ht="27.75" customHeight="1">
      <c r="A10" s="8"/>
      <c r="B10" s="108"/>
      <c r="C10" s="155"/>
      <c r="D10" s="156"/>
      <c r="E10" s="157"/>
      <c r="F10" s="155"/>
      <c r="G10" s="156"/>
      <c r="H10" s="108"/>
      <c r="I10" s="155"/>
      <c r="J10" s="156"/>
    </row>
    <row r="11" spans="1:10" ht="25.5" customHeight="1">
      <c r="A11" s="8"/>
      <c r="B11" s="108"/>
      <c r="C11" s="155"/>
      <c r="D11" s="156"/>
      <c r="E11" s="157"/>
      <c r="F11" s="155"/>
      <c r="G11" s="156"/>
      <c r="H11" s="108"/>
      <c r="I11" s="155"/>
      <c r="J11" s="156"/>
    </row>
    <row r="12" spans="1:10" ht="26.25" customHeight="1">
      <c r="A12" s="8"/>
      <c r="B12" s="108"/>
      <c r="C12" s="155"/>
      <c r="D12" s="156"/>
      <c r="E12" s="157"/>
      <c r="F12" s="155"/>
      <c r="G12" s="156"/>
      <c r="H12" s="108"/>
      <c r="I12" s="155"/>
      <c r="J12" s="156"/>
    </row>
    <row r="13" spans="1:10" ht="18.75" customHeight="1">
      <c r="A13" s="23" t="s">
        <v>112</v>
      </c>
      <c r="B13" s="111">
        <f>SUM(B5:B12)</f>
        <v>11926</v>
      </c>
      <c r="C13" s="109">
        <f>SUM(C5:C12)</f>
        <v>30510.654999999995</v>
      </c>
      <c r="D13" s="25"/>
      <c r="E13" s="158">
        <f>SUM(E5:E12)</f>
        <v>11926</v>
      </c>
      <c r="F13" s="109">
        <f>SUM(F5:F9)</f>
        <v>30575.796740460675</v>
      </c>
      <c r="G13" s="25"/>
      <c r="H13" s="111">
        <f>SUM(H5:H12)</f>
        <v>11926</v>
      </c>
      <c r="I13" s="109">
        <f>SUM(I5:I9)</f>
        <v>33373.781129239906</v>
      </c>
      <c r="J13" s="25"/>
    </row>
    <row r="15" ht="18.75" customHeight="1"/>
  </sheetData>
  <sheetProtection selectLockedCells="1" selectUnlockedCells="1"/>
  <mergeCells count="5">
    <mergeCell ref="A2:J2"/>
    <mergeCell ref="A3:A4"/>
    <mergeCell ref="B3:D3"/>
    <mergeCell ref="E3:G3"/>
    <mergeCell ref="H3:J3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L14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5.625" style="0" customWidth="1"/>
    <col min="2" max="2" width="26.25390625" style="0" customWidth="1"/>
    <col min="3" max="3" width="12.75390625" style="159" customWidth="1"/>
    <col min="4" max="4" width="15.375" style="40" customWidth="1"/>
    <col min="5" max="6" width="15.375" style="0" customWidth="1"/>
    <col min="7" max="11" width="15.375" style="0" hidden="1" customWidth="1"/>
    <col min="12" max="13" width="9.00390625" style="0" hidden="1" customWidth="1"/>
  </cols>
  <sheetData>
    <row r="1" ht="12.75">
      <c r="F1" t="s">
        <v>135</v>
      </c>
    </row>
    <row r="2" spans="1:10" ht="58.5" customHeight="1">
      <c r="A2" s="248" t="s">
        <v>183</v>
      </c>
      <c r="B2" s="248"/>
      <c r="C2" s="248"/>
      <c r="D2" s="248"/>
      <c r="E2" s="248"/>
      <c r="F2" s="248"/>
      <c r="G2" s="160"/>
      <c r="H2" s="160"/>
      <c r="I2" s="160"/>
      <c r="J2" s="160"/>
    </row>
    <row r="3" spans="1:4" ht="12.75">
      <c r="A3" s="160"/>
      <c r="B3" s="160"/>
      <c r="C3" s="161"/>
      <c r="D3" s="162"/>
    </row>
    <row r="5" spans="1:10" s="167" customFormat="1" ht="51">
      <c r="A5" s="163" t="s">
        <v>1</v>
      </c>
      <c r="B5" s="163" t="s">
        <v>2</v>
      </c>
      <c r="C5" s="164" t="s">
        <v>14</v>
      </c>
      <c r="D5" s="241" t="s">
        <v>173</v>
      </c>
      <c r="E5" s="241" t="s">
        <v>174</v>
      </c>
      <c r="F5" s="241" t="s">
        <v>184</v>
      </c>
      <c r="G5" s="166"/>
      <c r="H5" s="166"/>
      <c r="I5" s="166"/>
      <c r="J5" s="166"/>
    </row>
    <row r="6" spans="1:12" ht="25.5">
      <c r="A6" s="20">
        <v>1</v>
      </c>
      <c r="B6" s="8" t="s">
        <v>7</v>
      </c>
      <c r="C6" s="21">
        <f>'Коэф.масшт.'!C5</f>
        <v>4275</v>
      </c>
      <c r="D6" s="168">
        <f>C6*(D14/C14)</f>
        <v>2088.446471993963</v>
      </c>
      <c r="E6" s="168">
        <f>C6*(E14/C14)</f>
        <v>2267.139034462519</v>
      </c>
      <c r="F6" s="168">
        <f>E6*(F14/E14)</f>
        <v>2267.139034462519</v>
      </c>
      <c r="G6" s="168">
        <v>2297.61784</v>
      </c>
      <c r="H6" s="168">
        <f aca="true" t="shared" si="0" ref="H6:H14">+G6-D6</f>
        <v>209.17136800603703</v>
      </c>
      <c r="I6" s="168">
        <v>2388.76688</v>
      </c>
      <c r="J6" s="168">
        <f aca="true" t="shared" si="1" ref="J6:J14">+I6-E6</f>
        <v>121.62784553748133</v>
      </c>
      <c r="K6" s="168">
        <v>1951.50795</v>
      </c>
      <c r="L6" s="168">
        <f aca="true" t="shared" si="2" ref="L6:L14">+K6-F6</f>
        <v>-315.63108446251886</v>
      </c>
    </row>
    <row r="7" spans="1:12" ht="25.5">
      <c r="A7" s="20">
        <v>2</v>
      </c>
      <c r="B7" s="8" t="s">
        <v>8</v>
      </c>
      <c r="C7" s="21">
        <f>'Коэф.масшт.'!C6</f>
        <v>2795</v>
      </c>
      <c r="D7" s="168">
        <f>C7*D14/C14</f>
        <v>1365.4287460171054</v>
      </c>
      <c r="E7" s="168">
        <f>C7*(E14/C14)</f>
        <v>1482.2581523561964</v>
      </c>
      <c r="F7" s="168">
        <f>E7*F14/E14</f>
        <v>1482.2581523561964</v>
      </c>
      <c r="G7" s="168">
        <v>2059.88458</v>
      </c>
      <c r="H7" s="168">
        <f t="shared" si="0"/>
        <v>694.4558339828945</v>
      </c>
      <c r="I7" s="168">
        <v>2141.60248</v>
      </c>
      <c r="J7" s="168">
        <f t="shared" si="1"/>
        <v>659.3443276438036</v>
      </c>
      <c r="K7" s="168">
        <v>1749.58649</v>
      </c>
      <c r="L7" s="168">
        <f t="shared" si="2"/>
        <v>267.3283376438035</v>
      </c>
    </row>
    <row r="8" spans="1:12" ht="25.5">
      <c r="A8" s="20">
        <v>3</v>
      </c>
      <c r="B8" s="8" t="s">
        <v>9</v>
      </c>
      <c r="C8" s="21">
        <f>'Коэф.масшт.'!C7</f>
        <v>1429</v>
      </c>
      <c r="D8" s="168">
        <f>C8*D14/C14</f>
        <v>698.1029259600872</v>
      </c>
      <c r="E8" s="168">
        <f>C8*(E14/C14)</f>
        <v>757.8343111688747</v>
      </c>
      <c r="F8" s="168">
        <f>E8*F14/E14</f>
        <v>757.8343111688747</v>
      </c>
      <c r="G8" s="168">
        <v>1473.31128</v>
      </c>
      <c r="H8" s="168">
        <f t="shared" si="0"/>
        <v>775.2083540399127</v>
      </c>
      <c r="I8" s="168">
        <v>1531.75917</v>
      </c>
      <c r="J8" s="168">
        <f t="shared" si="1"/>
        <v>773.9248588311253</v>
      </c>
      <c r="K8" s="168">
        <v>1251.37376</v>
      </c>
      <c r="L8" s="168">
        <f t="shared" si="2"/>
        <v>493.53944883112524</v>
      </c>
    </row>
    <row r="9" spans="1:12" ht="25.5">
      <c r="A9" s="20">
        <v>4</v>
      </c>
      <c r="B9" s="8" t="s">
        <v>10</v>
      </c>
      <c r="C9" s="21">
        <f>'Коэф.масшт.'!C8</f>
        <v>2010</v>
      </c>
      <c r="D9" s="168">
        <f>C9*D14/C14</f>
        <v>981.9362359550561</v>
      </c>
      <c r="E9" s="168">
        <f>C9*(E14/C14)</f>
        <v>1065.9530898876403</v>
      </c>
      <c r="F9" s="168">
        <f>E9*F14/E14</f>
        <v>1065.9530898876403</v>
      </c>
      <c r="G9" s="168">
        <v>588.68962</v>
      </c>
      <c r="H9" s="168">
        <f t="shared" si="0"/>
        <v>-393.2466159550561</v>
      </c>
      <c r="I9" s="168">
        <v>612.04359</v>
      </c>
      <c r="J9" s="168">
        <f t="shared" si="1"/>
        <v>-453.9094998876403</v>
      </c>
      <c r="K9" s="168">
        <v>500.010249</v>
      </c>
      <c r="L9" s="168">
        <f t="shared" si="2"/>
        <v>-565.9428408876404</v>
      </c>
    </row>
    <row r="10" spans="1:12" ht="25.5">
      <c r="A10" s="20">
        <v>5</v>
      </c>
      <c r="B10" s="8" t="s">
        <v>11</v>
      </c>
      <c r="C10" s="21">
        <f>'Коэф.масшт.'!C9</f>
        <v>1417</v>
      </c>
      <c r="D10" s="168">
        <f>C10*D14/C14</f>
        <v>692.2406200737884</v>
      </c>
      <c r="E10" s="168">
        <f>C10*(E14/C14)</f>
        <v>751.4704121247694</v>
      </c>
      <c r="F10" s="168">
        <f>E10*F14/E14</f>
        <v>751.4704121247694</v>
      </c>
      <c r="G10" s="168">
        <v>1475.07488</v>
      </c>
      <c r="H10" s="168">
        <f t="shared" si="0"/>
        <v>782.8342599262115</v>
      </c>
      <c r="I10" s="168">
        <v>1533.59274</v>
      </c>
      <c r="J10" s="168">
        <f t="shared" si="1"/>
        <v>782.1223278752307</v>
      </c>
      <c r="K10" s="168">
        <v>1252.8717</v>
      </c>
      <c r="L10" s="168">
        <f t="shared" si="2"/>
        <v>501.40128787523054</v>
      </c>
    </row>
    <row r="11" spans="1:12" ht="12.75">
      <c r="A11" s="20"/>
      <c r="B11" s="8"/>
      <c r="C11" s="21"/>
      <c r="D11" s="168"/>
      <c r="E11" s="168"/>
      <c r="F11" s="168"/>
      <c r="G11" s="168">
        <v>1707.16462</v>
      </c>
      <c r="H11" s="168">
        <f t="shared" si="0"/>
        <v>1707.16462</v>
      </c>
      <c r="I11" s="168">
        <v>1774.88973</v>
      </c>
      <c r="J11" s="168">
        <f t="shared" si="1"/>
        <v>1774.88973</v>
      </c>
      <c r="K11" s="168">
        <v>1449.99976</v>
      </c>
      <c r="L11" s="168">
        <f t="shared" si="2"/>
        <v>1449.99976</v>
      </c>
    </row>
    <row r="12" spans="1:12" ht="12.75">
      <c r="A12" s="20"/>
      <c r="B12" s="8"/>
      <c r="C12" s="21"/>
      <c r="D12" s="168"/>
      <c r="E12" s="168"/>
      <c r="F12" s="168"/>
      <c r="G12" s="168">
        <v>801.02703</v>
      </c>
      <c r="H12" s="168">
        <f t="shared" si="0"/>
        <v>801.02703</v>
      </c>
      <c r="I12" s="168">
        <v>832.80466</v>
      </c>
      <c r="J12" s="168">
        <f t="shared" si="1"/>
        <v>832.80466</v>
      </c>
      <c r="K12" s="168">
        <v>680.361459</v>
      </c>
      <c r="L12" s="168">
        <f t="shared" si="2"/>
        <v>680.361459</v>
      </c>
    </row>
    <row r="13" spans="1:12" ht="12.75">
      <c r="A13" s="20"/>
      <c r="B13" s="8"/>
      <c r="C13" s="21"/>
      <c r="D13" s="168"/>
      <c r="E13" s="168"/>
      <c r="F13" s="168"/>
      <c r="G13" s="168">
        <v>1242.98515</v>
      </c>
      <c r="H13" s="168">
        <f t="shared" si="0"/>
        <v>1242.98515</v>
      </c>
      <c r="I13" s="168">
        <v>1292.29575</v>
      </c>
      <c r="J13" s="168">
        <f t="shared" si="1"/>
        <v>1292.29575</v>
      </c>
      <c r="K13" s="168">
        <v>1055.74363</v>
      </c>
      <c r="L13" s="168">
        <f t="shared" si="2"/>
        <v>1055.74363</v>
      </c>
    </row>
    <row r="14" spans="1:12" ht="12.75">
      <c r="A14" s="20"/>
      <c r="B14" s="23" t="s">
        <v>12</v>
      </c>
      <c r="C14" s="24">
        <f>SUM(C6:C13)</f>
        <v>11926</v>
      </c>
      <c r="D14" s="169">
        <v>5826.155</v>
      </c>
      <c r="E14" s="169">
        <v>6324.655</v>
      </c>
      <c r="F14" s="169">
        <v>6324.655</v>
      </c>
      <c r="G14" s="170">
        <f>SUM(G6:G13)</f>
        <v>11645.755</v>
      </c>
      <c r="H14" s="168">
        <f t="shared" si="0"/>
        <v>5819.599999999999</v>
      </c>
      <c r="I14" s="170">
        <f>SUM(I6:I13)</f>
        <v>12107.755000000001</v>
      </c>
      <c r="J14" s="168">
        <f t="shared" si="1"/>
        <v>5783.100000000001</v>
      </c>
      <c r="K14" s="170">
        <f>SUM(K6:K13)</f>
        <v>9891.454997999997</v>
      </c>
      <c r="L14" s="168">
        <f t="shared" si="2"/>
        <v>3566.7999979999977</v>
      </c>
    </row>
  </sheetData>
  <sheetProtection selectLockedCells="1" selectUnlockedCells="1"/>
  <mergeCells count="1">
    <mergeCell ref="A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2023-10-04T11:02:52Z</cp:lastPrinted>
  <dcterms:modified xsi:type="dcterms:W3CDTF">2024-02-20T11:20:30Z</dcterms:modified>
  <cp:category/>
  <cp:version/>
  <cp:contentType/>
  <cp:contentStatus/>
</cp:coreProperties>
</file>